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03\"/>
    </mc:Choice>
  </mc:AlternateContent>
  <xr:revisionPtr revIDLastSave="0" documentId="13_ncr:1_{7339B71D-F1FB-43EF-9ED6-AFE9C166ADA9}" xr6:coauthVersionLast="47" xr6:coauthVersionMax="47" xr10:uidLastSave="{00000000-0000-0000-0000-000000000000}"/>
  <bookViews>
    <workbookView xWindow="972" yWindow="-108" windowWidth="22176" windowHeight="13176" activeTab="2" xr2:uid="{6C769D9E-DF30-4664-8658-52B5B072F4FD}"/>
  </bookViews>
  <sheets>
    <sheet name="H2-Acciaio" sheetId="1" r:id="rId1"/>
    <sheet name="H2-gomma" sheetId="2" r:id="rId2"/>
    <sheet name="Vapore-monostrato" sheetId="3" r:id="rId3"/>
  </sheets>
  <definedNames>
    <definedName name="CA_1">'H2-Acciaio'!$C$20</definedName>
    <definedName name="CA_2">'H2-Acciaio'!$C$21</definedName>
    <definedName name="Dab">'H2-Acciaio'!$E$22</definedName>
    <definedName name="Dab_gomma">'H2-gomma'!$B$15</definedName>
    <definedName name="Dv">'Vapore-monostrato'!$B$32</definedName>
    <definedName name="he">'Vapore-monostrato'!$E$19</definedName>
    <definedName name="hi">'Vapore-monostrato'!$B$19</definedName>
    <definedName name="J_H2">'H2-gomma'!$C$20</definedName>
    <definedName name="Ja">'H2-Acciaio'!$D$27</definedName>
    <definedName name="L">'H2-Acciaio'!$F$14</definedName>
    <definedName name="Lambda">'Vapore-monostrato'!$E$18</definedName>
    <definedName name="LL">'Vapore-monostrato'!$B$18</definedName>
    <definedName name="Na">'H2-Acciaio'!$C$33</definedName>
    <definedName name="p_1">'H2-Acciaio'!$D$17</definedName>
    <definedName name="phi_e">'Vapore-monostrato'!$E$17</definedName>
    <definedName name="phi_i">'Vapore-monostrato'!$B$17</definedName>
    <definedName name="pve">'Vapore-monostrato'!$K$29</definedName>
    <definedName name="pvi">'Vapore-monostrato'!$K$26</definedName>
    <definedName name="qpunto">'Vapore-monostrato'!$D$26</definedName>
    <definedName name="Rd">'Vapore-monostrato'!$C$33</definedName>
    <definedName name="Rt_tot">'Vapore-monostrato'!$C$25</definedName>
    <definedName name="s">'H2-Acciaio'!$D$16</definedName>
    <definedName name="Sol">'H2-gomma'!$B$16</definedName>
    <definedName name="sp">'H2-gomma'!$D$17</definedName>
    <definedName name="SS">'H2-Acciaio'!$E$19</definedName>
    <definedName name="Sup">'H2-Acciaio'!$I$15</definedName>
    <definedName name="T_1">'H2-Acciaio'!$B$18</definedName>
    <definedName name="Te">'Vapore-monostrato'!$E$16</definedName>
    <definedName name="Ti">'Vapore-monostrato'!$B$16</definedName>
    <definedName name="V">'H2-Acciaio'!$F$15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  <c r="K27" i="3"/>
  <c r="D36" i="3"/>
  <c r="K29" i="3"/>
  <c r="K26" i="3"/>
  <c r="C33" i="3"/>
  <c r="D29" i="3"/>
  <c r="D28" i="3"/>
  <c r="D27" i="3"/>
  <c r="D26" i="3"/>
  <c r="C25" i="3"/>
  <c r="C23" i="3"/>
  <c r="C24" i="3"/>
  <c r="C22" i="3"/>
  <c r="C28" i="2"/>
  <c r="C27" i="2"/>
  <c r="C26" i="2"/>
  <c r="C23" i="2"/>
  <c r="C24" i="2"/>
  <c r="C20" i="2"/>
  <c r="C19" i="2"/>
  <c r="D18" i="2"/>
  <c r="D17" i="2"/>
  <c r="F15" i="1"/>
  <c r="I15" i="1"/>
  <c r="C30" i="1"/>
  <c r="C20" i="1"/>
  <c r="D27" i="1" s="1"/>
  <c r="C33" i="1" s="1"/>
  <c r="D17" i="1"/>
  <c r="D16" i="1"/>
  <c r="C31" i="1" l="1"/>
  <c r="C34" i="1" s="1"/>
  <c r="C35" i="1" s="1"/>
  <c r="C36" i="1" s="1"/>
</calcChain>
</file>

<file path=xl/sharedStrings.xml><?xml version="1.0" encoding="utf-8"?>
<sst xmlns="http://schemas.openxmlformats.org/spreadsheetml/2006/main" count="115" uniqueCount="77">
  <si>
    <t>Diffusione dell'idrogeno in una parete piana omogenea</t>
  </si>
  <si>
    <t>L =</t>
  </si>
  <si>
    <t>m</t>
  </si>
  <si>
    <t>S =</t>
  </si>
  <si>
    <t>mm</t>
  </si>
  <si>
    <t>s =</t>
  </si>
  <si>
    <t>p1 =</t>
  </si>
  <si>
    <t>bar</t>
  </si>
  <si>
    <t>Pa</t>
  </si>
  <si>
    <t>T1 =</t>
  </si>
  <si>
    <t>K</t>
  </si>
  <si>
    <t>Solubilità dell'idrogeno nell'acciaio S =</t>
  </si>
  <si>
    <t>kmol/m3bar</t>
  </si>
  <si>
    <t>kmol/m3</t>
  </si>
  <si>
    <t>CA2 =</t>
  </si>
  <si>
    <t>CA1 = p1*S =</t>
  </si>
  <si>
    <t>Diffusività binaria idrogeno-acciaio Dab =</t>
  </si>
  <si>
    <t>m2/s</t>
  </si>
  <si>
    <t>Legge di fick molare versione semplificata</t>
  </si>
  <si>
    <t>Ja = -Dab*(CA1-CA2)/s =</t>
  </si>
  <si>
    <t>kmol/(m2s)</t>
  </si>
  <si>
    <t>Calcolo del tempo di dimezzamento</t>
  </si>
  <si>
    <t>V =</t>
  </si>
  <si>
    <t>m3</t>
  </si>
  <si>
    <t>C_iniz = p1/(RoT) =</t>
  </si>
  <si>
    <t>C_fin = C_iniz/2 =</t>
  </si>
  <si>
    <t>Na = Ja*Sup =</t>
  </si>
  <si>
    <t>Sup =</t>
  </si>
  <si>
    <t>m2</t>
  </si>
  <si>
    <t>kmol/s</t>
  </si>
  <si>
    <t>Tau = DeltaC/Na =</t>
  </si>
  <si>
    <t>s</t>
  </si>
  <si>
    <t>giorni</t>
  </si>
  <si>
    <t>anni</t>
  </si>
  <si>
    <t>Diffusione dell'idrogeno nella gomma</t>
  </si>
  <si>
    <t>Dab =</t>
  </si>
  <si>
    <t>pa =</t>
  </si>
  <si>
    <t>Bar</t>
  </si>
  <si>
    <t>Ca = pa*S =</t>
  </si>
  <si>
    <t>JH2 = -Dab*Ca/L =</t>
  </si>
  <si>
    <t>kmol/m2s</t>
  </si>
  <si>
    <t>Na = J_H2*Sup =</t>
  </si>
  <si>
    <t>ore</t>
  </si>
  <si>
    <t>Diffusione vapore in parete monostrato</t>
  </si>
  <si>
    <t>Ti =</t>
  </si>
  <si>
    <t>°C</t>
  </si>
  <si>
    <t>Te =</t>
  </si>
  <si>
    <t>phi_i =</t>
  </si>
  <si>
    <t>phi_e =</t>
  </si>
  <si>
    <t>lambda =</t>
  </si>
  <si>
    <t>W/mK</t>
  </si>
  <si>
    <t>hi =</t>
  </si>
  <si>
    <t>W/m2K</t>
  </si>
  <si>
    <t>he =</t>
  </si>
  <si>
    <t>Soluzione problema termico</t>
  </si>
  <si>
    <t>Rt,conv,i = 1/hi =</t>
  </si>
  <si>
    <t>m2K/W</t>
  </si>
  <si>
    <t>Rt,conv,e = 1/he =</t>
  </si>
  <si>
    <t xml:space="preserve">Rt,cond = L/Lambda </t>
  </si>
  <si>
    <t>Rt_tot =</t>
  </si>
  <si>
    <t>qpunto = (Ti-Te)/Rt_tot =</t>
  </si>
  <si>
    <t>W/m2</t>
  </si>
  <si>
    <t>Tpi = Ti - qpunto*Rt,conv,i =</t>
  </si>
  <si>
    <t>Tpe = Tpi - qpunto*Rt,cond =</t>
  </si>
  <si>
    <t>Te = Tpe- qpunto*Rt,conv,e =</t>
  </si>
  <si>
    <t>Psat =</t>
  </si>
  <si>
    <t>Soluzione del probema diffusivo</t>
  </si>
  <si>
    <t>Dv =</t>
  </si>
  <si>
    <t>kg/(mhPa)</t>
  </si>
  <si>
    <t>Rdiff = L/Dv =</t>
  </si>
  <si>
    <t>m2hPa/kg</t>
  </si>
  <si>
    <t>pve=phi_e*Psat =</t>
  </si>
  <si>
    <t>pvi=phi_i*Psat =</t>
  </si>
  <si>
    <t>=</t>
  </si>
  <si>
    <t>kg/hm2</t>
  </si>
  <si>
    <t>A che ci serve?</t>
  </si>
  <si>
    <t>Asse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</si>
</sst>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Glaser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Press. Saturazione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'Vapore-monostrato'!$M$26:$M$29</c:f>
              <c:numCache>
                <c:formatCode>General</c:formatCode>
                <c:ptCount val="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</c:numCache>
            </c:numRef>
          </c:xVal>
          <c:yVal>
            <c:numRef>
              <c:f>'Vapore-monostrato'!$G$26:$G$29</c:f>
              <c:numCache>
                <c:formatCode>General</c:formatCode>
                <c:ptCount val="4"/>
                <c:pt idx="0">
                  <c:v>2338</c:v>
                </c:pt>
                <c:pt idx="1">
                  <c:v>1523</c:v>
                </c:pt>
                <c:pt idx="2">
                  <c:v>741</c:v>
                </c:pt>
                <c:pt idx="3">
                  <c:v>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DF-463F-901F-F71AF5AFA2A4}"/>
            </c:ext>
          </c:extLst>
        </c:ser>
        <c:ser>
          <c:idx val="1"/>
          <c:order val="1"/>
          <c:tx>
            <c:v>Press. Parz. Vapore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'Vapore-monostrato'!$M$26:$M$29</c:f>
              <c:numCache>
                <c:formatCode>General</c:formatCode>
                <c:ptCount val="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</c:numCache>
            </c:numRef>
          </c:xVal>
          <c:yVal>
            <c:numRef>
              <c:f>'Vapore-monostrato'!$K$26:$K$29</c:f>
              <c:numCache>
                <c:formatCode>General</c:formatCode>
                <c:ptCount val="4"/>
                <c:pt idx="0">
                  <c:v>935.2</c:v>
                </c:pt>
                <c:pt idx="1">
                  <c:v>935.2</c:v>
                </c:pt>
                <c:pt idx="2">
                  <c:v>611</c:v>
                </c:pt>
                <c:pt idx="3">
                  <c:v>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DF-463F-901F-F71AF5AF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359727"/>
        <c:axId val="2127352239"/>
      </c:scatterChart>
      <c:valAx>
        <c:axId val="2127359727"/>
        <c:scaling>
          <c:orientation val="minMax"/>
          <c:max val="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352239"/>
        <c:crosses val="autoZero"/>
        <c:crossBetween val="midCat"/>
      </c:valAx>
      <c:valAx>
        <c:axId val="212735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359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0</xdr:rowOff>
    </xdr:from>
    <xdr:to>
      <xdr:col>2</xdr:col>
      <xdr:colOff>579120</xdr:colOff>
      <xdr:row>13</xdr:row>
      <xdr:rowOff>105322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65760"/>
          <a:ext cx="1752600" cy="211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4</xdr:row>
      <xdr:rowOff>68580</xdr:rowOff>
    </xdr:from>
    <xdr:to>
      <xdr:col>6</xdr:col>
      <xdr:colOff>251460</xdr:colOff>
      <xdr:row>12</xdr:row>
      <xdr:rowOff>60960</xdr:rowOff>
    </xdr:to>
    <xdr:sp macro="" textlink="">
      <xdr:nvSpPr>
        <xdr:cNvPr id="3" name="Cub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61260" y="800100"/>
          <a:ext cx="1447800" cy="1455420"/>
        </a:xfrm>
        <a:prstGeom prst="cub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23</xdr:row>
          <xdr:rowOff>7620</xdr:rowOff>
        </xdr:from>
        <xdr:to>
          <xdr:col>3</xdr:col>
          <xdr:colOff>342900</xdr:colOff>
          <xdr:row>25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</xdr:colOff>
      <xdr:row>1</xdr:row>
      <xdr:rowOff>15240</xdr:rowOff>
    </xdr:from>
    <xdr:to>
      <xdr:col>2</xdr:col>
      <xdr:colOff>360680</xdr:colOff>
      <xdr:row>12</xdr:row>
      <xdr:rowOff>126957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98120"/>
          <a:ext cx="1524000" cy="2123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60960</xdr:rowOff>
    </xdr:from>
    <xdr:to>
      <xdr:col>5</xdr:col>
      <xdr:colOff>551084</xdr:colOff>
      <xdr:row>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E00997-9B87-7ABF-6AFC-C6C5459A5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245110"/>
          <a:ext cx="3500024" cy="244729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31750</xdr:colOff>
          <xdr:row>33</xdr:row>
          <xdr:rowOff>158750</xdr:rowOff>
        </xdr:from>
        <xdr:to>
          <xdr:col>2</xdr:col>
          <xdr:colOff>450850</xdr:colOff>
          <xdr:row>38</xdr:row>
          <xdr:rowOff>20320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65192203-5020-372D-A42C-E11B793AD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82550</xdr:colOff>
      <xdr:row>30</xdr:row>
      <xdr:rowOff>47624</xdr:rowOff>
    </xdr:from>
    <xdr:to>
      <xdr:col>14</xdr:col>
      <xdr:colOff>387350</xdr:colOff>
      <xdr:row>51</xdr:row>
      <xdr:rowOff>82549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4A6128-1E24-16F1-C518-9FB4353C5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0.37917</cdr:x>
      <cdr:y>0.17982</cdr:y>
    </cdr:from>
    <cdr:to>
      <cdr:x>0.66528</cdr:x>
      <cdr:y>0.85191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D6E4AC3-CA07-0039-3A09-868B01419A48}"/>
            </a:ext>
          </a:extLst>
        </cdr:cNvPr>
        <cdr:cNvSpPr/>
      </cdr:nvSpPr>
      <cdr:spPr>
        <a:xfrm xmlns:a="http://schemas.openxmlformats.org/drawingml/2006/main">
          <a:off x="1733550" y="701676"/>
          <a:ext cx="1308100" cy="26225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  <a:alpha val="32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4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DD71-3BAF-4E94-B5C1-3F968E1D2001}">
  <dimension ref="A1:J36"/>
  <sheetViews>
    <sheetView topLeftCell="A13" zoomScale="120" zoomScaleNormal="120" workbookViewId="0">
      <selection activeCell="A29" sqref="A29:D36"/>
    </sheetView>
  </sheetViews>
  <sheetFormatPr defaultRowHeight="14.4" x14ac:dyDescent="0.3"/>
  <cols>
    <col min="3" max="3" width="12.109375" bestFit="1" customWidth="1"/>
    <col min="4" max="4" width="11.6640625" bestFit="1" customWidth="1"/>
  </cols>
  <sheetData>
    <row r="1" spans="1:10" x14ac:dyDescent="0.3">
      <c r="A1" t="s">
        <v>0</v>
      </c>
    </row>
    <row r="14" spans="1:10" x14ac:dyDescent="0.3">
      <c r="E14" t="s">
        <v>1</v>
      </c>
      <c r="F14">
        <v>1</v>
      </c>
      <c r="G14" t="s">
        <v>2</v>
      </c>
    </row>
    <row r="15" spans="1:10" x14ac:dyDescent="0.3">
      <c r="E15" t="s">
        <v>22</v>
      </c>
      <c r="F15">
        <f>L^3</f>
        <v>1</v>
      </c>
      <c r="G15" t="s">
        <v>23</v>
      </c>
      <c r="H15" t="s">
        <v>27</v>
      </c>
      <c r="I15">
        <f>6*L^2</f>
        <v>6</v>
      </c>
      <c r="J15" t="s">
        <v>28</v>
      </c>
    </row>
    <row r="16" spans="1:10" x14ac:dyDescent="0.3">
      <c r="A16" t="s">
        <v>5</v>
      </c>
      <c r="B16">
        <v>10</v>
      </c>
      <c r="C16" t="s">
        <v>4</v>
      </c>
      <c r="D16">
        <f>B16/1000</f>
        <v>0.01</v>
      </c>
      <c r="E16" t="s">
        <v>2</v>
      </c>
    </row>
    <row r="17" spans="1:6" x14ac:dyDescent="0.3">
      <c r="A17" t="s">
        <v>6</v>
      </c>
      <c r="B17">
        <v>700</v>
      </c>
      <c r="C17" t="s">
        <v>7</v>
      </c>
      <c r="D17">
        <f>B17*100000</f>
        <v>70000000</v>
      </c>
      <c r="E17" t="s">
        <v>8</v>
      </c>
    </row>
    <row r="18" spans="1:6" x14ac:dyDescent="0.3">
      <c r="A18" t="s">
        <v>9</v>
      </c>
      <c r="B18">
        <v>293</v>
      </c>
      <c r="C18" t="s">
        <v>10</v>
      </c>
    </row>
    <row r="19" spans="1:6" x14ac:dyDescent="0.3">
      <c r="A19" t="s">
        <v>11</v>
      </c>
      <c r="E19" s="1">
        <v>9.0100000000000006E-3</v>
      </c>
      <c r="F19" t="s">
        <v>12</v>
      </c>
    </row>
    <row r="20" spans="1:6" x14ac:dyDescent="0.3">
      <c r="A20" t="s">
        <v>15</v>
      </c>
      <c r="C20">
        <f>B17*SS</f>
        <v>6.3070000000000004</v>
      </c>
      <c r="D20" t="s">
        <v>13</v>
      </c>
    </row>
    <row r="21" spans="1:6" x14ac:dyDescent="0.3">
      <c r="A21" t="s">
        <v>14</v>
      </c>
      <c r="C21">
        <v>0</v>
      </c>
      <c r="D21" t="s">
        <v>13</v>
      </c>
    </row>
    <row r="22" spans="1:6" x14ac:dyDescent="0.3">
      <c r="A22" t="s">
        <v>16</v>
      </c>
      <c r="E22" s="1">
        <v>2.6E-13</v>
      </c>
      <c r="F22" t="s">
        <v>17</v>
      </c>
    </row>
    <row r="23" spans="1:6" x14ac:dyDescent="0.3">
      <c r="A23" t="s">
        <v>18</v>
      </c>
    </row>
    <row r="27" spans="1:6" x14ac:dyDescent="0.3">
      <c r="A27" t="s">
        <v>19</v>
      </c>
      <c r="D27">
        <f>Dab*(CA_1-CA_2)/s</f>
        <v>1.63982E-10</v>
      </c>
      <c r="E27" t="s">
        <v>20</v>
      </c>
    </row>
    <row r="29" spans="1:6" x14ac:dyDescent="0.3">
      <c r="A29" t="s">
        <v>21</v>
      </c>
    </row>
    <row r="30" spans="1:6" x14ac:dyDescent="0.3">
      <c r="A30" t="s">
        <v>24</v>
      </c>
      <c r="C30">
        <f>p_1/(8314*T_1)</f>
        <v>28.735608591454358</v>
      </c>
      <c r="D30" t="s">
        <v>13</v>
      </c>
    </row>
    <row r="31" spans="1:6" x14ac:dyDescent="0.3">
      <c r="A31" t="s">
        <v>25</v>
      </c>
      <c r="C31">
        <f>C30/2</f>
        <v>14.367804295727179</v>
      </c>
      <c r="D31" t="s">
        <v>13</v>
      </c>
    </row>
    <row r="33" spans="1:4" x14ac:dyDescent="0.3">
      <c r="A33" t="s">
        <v>26</v>
      </c>
      <c r="C33">
        <f>Ja*Sup</f>
        <v>9.8389200000000002E-10</v>
      </c>
      <c r="D33" t="s">
        <v>29</v>
      </c>
    </row>
    <row r="34" spans="1:4" x14ac:dyDescent="0.3">
      <c r="A34" t="s">
        <v>30</v>
      </c>
      <c r="C34" s="1">
        <f>(C30-C31)/Na</f>
        <v>14603029901.378586</v>
      </c>
      <c r="D34" t="s">
        <v>31</v>
      </c>
    </row>
    <row r="35" spans="1:4" x14ac:dyDescent="0.3">
      <c r="C35">
        <f>C34/3600/24</f>
        <v>169016.54978447437</v>
      </c>
      <c r="D35" t="s">
        <v>32</v>
      </c>
    </row>
    <row r="36" spans="1:4" x14ac:dyDescent="0.3">
      <c r="C36">
        <f>C35/365</f>
        <v>463.0590405054092</v>
      </c>
      <c r="D36" t="s">
        <v>33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6" r:id="rId3">
          <objectPr defaultSize="0" autoPict="0" r:id="rId4">
            <anchor moveWithCells="1" sizeWithCells="1">
              <from>
                <xdr:col>0</xdr:col>
                <xdr:colOff>22860</xdr:colOff>
                <xdr:row>23</xdr:row>
                <xdr:rowOff>7620</xdr:rowOff>
              </from>
              <to>
                <xdr:col>3</xdr:col>
                <xdr:colOff>342900</xdr:colOff>
                <xdr:row>25</xdr:row>
                <xdr:rowOff>7620</xdr:rowOff>
              </to>
            </anchor>
          </objectPr>
        </oleObject>
      </mc:Choice>
      <mc:Fallback>
        <oleObject progId="Equation.3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B95F-F509-4813-882A-5883011E76D8}">
  <dimension ref="A1:E28"/>
  <sheetViews>
    <sheetView topLeftCell="A15" zoomScale="150" zoomScaleNormal="150" workbookViewId="0">
      <selection activeCell="A29" sqref="A29"/>
    </sheetView>
  </sheetViews>
  <sheetFormatPr defaultRowHeight="14.4" x14ac:dyDescent="0.3"/>
  <cols>
    <col min="3" max="3" width="12.21875" bestFit="1" customWidth="1"/>
  </cols>
  <sheetData>
    <row r="1" spans="1:3" x14ac:dyDescent="0.3">
      <c r="A1" t="s">
        <v>34</v>
      </c>
    </row>
    <row r="15" spans="1:3" x14ac:dyDescent="0.3">
      <c r="A15" t="s">
        <v>35</v>
      </c>
      <c r="B15" s="1">
        <v>8.6999999999999998E-8</v>
      </c>
      <c r="C15" t="s">
        <v>17</v>
      </c>
    </row>
    <row r="16" spans="1:3" x14ac:dyDescent="0.3">
      <c r="A16" t="s">
        <v>3</v>
      </c>
      <c r="B16" s="1">
        <v>1.5E-3</v>
      </c>
      <c r="C16" t="s">
        <v>12</v>
      </c>
    </row>
    <row r="17" spans="1:5" x14ac:dyDescent="0.3">
      <c r="A17" t="s">
        <v>1</v>
      </c>
      <c r="B17">
        <v>0.3</v>
      </c>
      <c r="C17" t="s">
        <v>4</v>
      </c>
      <c r="D17">
        <f>B17/1000</f>
        <v>2.9999999999999997E-4</v>
      </c>
      <c r="E17" t="s">
        <v>2</v>
      </c>
    </row>
    <row r="18" spans="1:5" x14ac:dyDescent="0.3">
      <c r="A18" t="s">
        <v>36</v>
      </c>
      <c r="B18">
        <v>3</v>
      </c>
      <c r="C18" t="s">
        <v>37</v>
      </c>
      <c r="D18">
        <f>B18*100000</f>
        <v>300000</v>
      </c>
      <c r="E18" t="s">
        <v>8</v>
      </c>
    </row>
    <row r="19" spans="1:5" x14ac:dyDescent="0.3">
      <c r="A19" t="s">
        <v>38</v>
      </c>
      <c r="C19">
        <f>B18*Sol</f>
        <v>4.5000000000000005E-3</v>
      </c>
      <c r="D19" t="s">
        <v>13</v>
      </c>
    </row>
    <row r="20" spans="1:5" x14ac:dyDescent="0.3">
      <c r="A20" t="s">
        <v>39</v>
      </c>
      <c r="C20">
        <f>Dab_gomma*C19/sp</f>
        <v>1.3050000000000002E-6</v>
      </c>
      <c r="D20" t="s">
        <v>40</v>
      </c>
    </row>
    <row r="22" spans="1:5" x14ac:dyDescent="0.3">
      <c r="A22" t="s">
        <v>21</v>
      </c>
    </row>
    <row r="23" spans="1:5" x14ac:dyDescent="0.3">
      <c r="A23" t="s">
        <v>24</v>
      </c>
      <c r="C23">
        <f>D18/(8314*T_1)</f>
        <v>0.12315260824909011</v>
      </c>
      <c r="D23" t="s">
        <v>13</v>
      </c>
    </row>
    <row r="24" spans="1:5" x14ac:dyDescent="0.3">
      <c r="A24" t="s">
        <v>25</v>
      </c>
      <c r="C24">
        <f>C23/2</f>
        <v>6.1576304124545053E-2</v>
      </c>
      <c r="D24" t="s">
        <v>13</v>
      </c>
    </row>
    <row r="26" spans="1:5" x14ac:dyDescent="0.3">
      <c r="A26" t="s">
        <v>41</v>
      </c>
      <c r="C26">
        <f>J_H2*Sup</f>
        <v>7.8300000000000013E-6</v>
      </c>
      <c r="D26" t="s">
        <v>29</v>
      </c>
    </row>
    <row r="27" spans="1:5" x14ac:dyDescent="0.3">
      <c r="A27" t="s">
        <v>30</v>
      </c>
      <c r="C27">
        <f>(C23-C24)/C26</f>
        <v>7864.1512291883837</v>
      </c>
      <c r="D27" t="s">
        <v>31</v>
      </c>
    </row>
    <row r="28" spans="1:5" x14ac:dyDescent="0.3">
      <c r="C28">
        <f>C27/3600</f>
        <v>2.1844864525523287</v>
      </c>
      <c r="D28" t="s">
        <v>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FE28-82D7-4571-940C-1CEDF33B66CE}">
  <dimension ref="A1:M36"/>
  <sheetViews>
    <sheetView tabSelected="1" topLeftCell="A30" zoomScale="120" zoomScaleNormal="120" workbookViewId="0">
      <selection activeCell="D36" sqref="D36"/>
    </sheetView>
  </sheetViews>
  <sheetFormatPr defaultRowHeight="14.4" x14ac:dyDescent="0.3"/>
  <cols>
    <col min="4" max="4" width="11" bestFit="1" customWidth="1"/>
  </cols>
  <sheetData>
    <row r="1" spans="1:6" x14ac:dyDescent="0.3">
      <c r="A1" t="s">
        <v>43</v>
      </c>
    </row>
    <row r="16" spans="1:6" x14ac:dyDescent="0.3">
      <c r="A16" t="s">
        <v>44</v>
      </c>
      <c r="B16">
        <v>20</v>
      </c>
      <c r="C16" t="s">
        <v>45</v>
      </c>
      <c r="D16" t="s">
        <v>46</v>
      </c>
      <c r="E16">
        <v>0</v>
      </c>
      <c r="F16" t="s">
        <v>45</v>
      </c>
    </row>
    <row r="17" spans="1:13" x14ac:dyDescent="0.3">
      <c r="A17" t="s">
        <v>47</v>
      </c>
      <c r="B17">
        <v>0.4</v>
      </c>
      <c r="D17" t="s">
        <v>48</v>
      </c>
      <c r="E17">
        <v>1</v>
      </c>
    </row>
    <row r="18" spans="1:13" x14ac:dyDescent="0.3">
      <c r="A18" t="s">
        <v>1</v>
      </c>
      <c r="B18">
        <v>0.2</v>
      </c>
      <c r="C18" t="s">
        <v>2</v>
      </c>
      <c r="D18" t="s">
        <v>49</v>
      </c>
      <c r="E18">
        <v>1</v>
      </c>
      <c r="F18" t="s">
        <v>50</v>
      </c>
    </row>
    <row r="19" spans="1:13" x14ac:dyDescent="0.3">
      <c r="A19" t="s">
        <v>51</v>
      </c>
      <c r="B19">
        <v>8</v>
      </c>
      <c r="C19" t="s">
        <v>52</v>
      </c>
      <c r="D19" t="s">
        <v>53</v>
      </c>
      <c r="E19">
        <v>20</v>
      </c>
      <c r="F19" t="s">
        <v>50</v>
      </c>
    </row>
    <row r="21" spans="1:13" x14ac:dyDescent="0.3">
      <c r="A21" t="s">
        <v>54</v>
      </c>
    </row>
    <row r="22" spans="1:13" x14ac:dyDescent="0.3">
      <c r="A22" t="s">
        <v>55</v>
      </c>
      <c r="C22">
        <f>1/hi</f>
        <v>0.125</v>
      </c>
      <c r="D22" t="s">
        <v>56</v>
      </c>
    </row>
    <row r="23" spans="1:13" x14ac:dyDescent="0.3">
      <c r="A23" t="s">
        <v>58</v>
      </c>
      <c r="C23">
        <f>LL/Lambda</f>
        <v>0.2</v>
      </c>
      <c r="D23" t="s">
        <v>56</v>
      </c>
    </row>
    <row r="24" spans="1:13" x14ac:dyDescent="0.3">
      <c r="A24" t="s">
        <v>57</v>
      </c>
      <c r="C24">
        <f>1/he</f>
        <v>0.05</v>
      </c>
      <c r="D24" t="s">
        <v>56</v>
      </c>
    </row>
    <row r="25" spans="1:13" x14ac:dyDescent="0.3">
      <c r="B25" t="s">
        <v>59</v>
      </c>
      <c r="C25">
        <f>SUM(C22:C24)</f>
        <v>0.375</v>
      </c>
      <c r="D25" t="s">
        <v>56</v>
      </c>
      <c r="M25" t="s">
        <v>76</v>
      </c>
    </row>
    <row r="26" spans="1:13" x14ac:dyDescent="0.3">
      <c r="A26" t="s">
        <v>60</v>
      </c>
      <c r="D26" s="3">
        <f>(Ti-Te)/Rt_tot</f>
        <v>53.333333333333336</v>
      </c>
      <c r="E26" t="s">
        <v>61</v>
      </c>
      <c r="F26" t="s">
        <v>65</v>
      </c>
      <c r="G26">
        <v>2338</v>
      </c>
      <c r="H26" t="s">
        <v>8</v>
      </c>
      <c r="I26" t="s">
        <v>72</v>
      </c>
      <c r="K26">
        <f>phi_i*G26</f>
        <v>935.2</v>
      </c>
      <c r="L26" t="s">
        <v>8</v>
      </c>
      <c r="M26">
        <v>0</v>
      </c>
    </row>
    <row r="27" spans="1:13" x14ac:dyDescent="0.3">
      <c r="A27" t="s">
        <v>62</v>
      </c>
      <c r="D27" s="2">
        <f>Ti-qpunto*C22</f>
        <v>13.333333333333332</v>
      </c>
      <c r="E27" s="2" t="s">
        <v>45</v>
      </c>
      <c r="F27" s="3" t="s">
        <v>65</v>
      </c>
      <c r="G27" s="3">
        <v>1523</v>
      </c>
      <c r="H27" s="3" t="s">
        <v>8</v>
      </c>
      <c r="K27">
        <f>pvi</f>
        <v>935.2</v>
      </c>
      <c r="M27">
        <v>0.2</v>
      </c>
    </row>
    <row r="28" spans="1:13" x14ac:dyDescent="0.3">
      <c r="A28" t="s">
        <v>63</v>
      </c>
      <c r="D28" s="2">
        <f>D27-qpunto*C23</f>
        <v>2.6666666666666643</v>
      </c>
      <c r="E28" s="2" t="s">
        <v>45</v>
      </c>
      <c r="F28" s="3" t="s">
        <v>65</v>
      </c>
      <c r="G28" s="3">
        <v>741</v>
      </c>
      <c r="H28" s="3" t="s">
        <v>8</v>
      </c>
      <c r="K28">
        <f>pve</f>
        <v>611</v>
      </c>
      <c r="M28">
        <v>0.4</v>
      </c>
    </row>
    <row r="29" spans="1:13" x14ac:dyDescent="0.3">
      <c r="A29" t="s">
        <v>64</v>
      </c>
      <c r="D29">
        <f>D28-qpunto*C24</f>
        <v>0</v>
      </c>
      <c r="E29" t="s">
        <v>45</v>
      </c>
      <c r="F29" t="s">
        <v>65</v>
      </c>
      <c r="G29">
        <v>611</v>
      </c>
      <c r="H29" t="s">
        <v>8</v>
      </c>
      <c r="I29" t="s">
        <v>71</v>
      </c>
      <c r="K29">
        <f>phi_e*G29</f>
        <v>611</v>
      </c>
      <c r="L29" t="s">
        <v>8</v>
      </c>
      <c r="M29">
        <v>0.6</v>
      </c>
    </row>
    <row r="31" spans="1:13" x14ac:dyDescent="0.3">
      <c r="A31" t="s">
        <v>66</v>
      </c>
    </row>
    <row r="32" spans="1:13" x14ac:dyDescent="0.3">
      <c r="A32" t="s">
        <v>67</v>
      </c>
      <c r="B32" s="1">
        <v>1E-8</v>
      </c>
      <c r="C32" t="s">
        <v>68</v>
      </c>
    </row>
    <row r="33" spans="1:6" x14ac:dyDescent="0.3">
      <c r="A33" t="s">
        <v>69</v>
      </c>
      <c r="C33">
        <f>LL/Dv</f>
        <v>20000000</v>
      </c>
      <c r="D33" t="s">
        <v>70</v>
      </c>
    </row>
    <row r="36" spans="1:6" x14ac:dyDescent="0.3">
      <c r="C36" s="4" t="s">
        <v>73</v>
      </c>
      <c r="D36" s="3">
        <f>(pvi-pve)/Rd</f>
        <v>1.6210000000000002E-5</v>
      </c>
      <c r="E36" t="s">
        <v>74</v>
      </c>
      <c r="F36" t="s">
        <v>75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4" r:id="rId3">
          <objectPr defaultSize="0" autoPict="0" r:id="rId4">
            <anchor moveWithCells="1" sizeWithCells="1">
              <from>
                <xdr:col>0</xdr:col>
                <xdr:colOff>30480</xdr:colOff>
                <xdr:row>33</xdr:row>
                <xdr:rowOff>160020</xdr:rowOff>
              </from>
              <to>
                <xdr:col>2</xdr:col>
                <xdr:colOff>449580</xdr:colOff>
                <xdr:row>38</xdr:row>
                <xdr:rowOff>22860</xdr:rowOff>
              </to>
            </anchor>
          </objectPr>
        </oleObject>
      </mc:Choice>
      <mc:Fallback>
        <oleObject progId="Equation.3" shapeId="307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30</vt:i4>
      </vt:variant>
    </vt:vector>
  </HeadingPairs>
  <TitlesOfParts>
    <vt:vector size="33" baseType="lpstr">
      <vt:lpstr>H2-Acciaio</vt:lpstr>
      <vt:lpstr>H2-gomma</vt:lpstr>
      <vt:lpstr>Vapore-monostrato</vt:lpstr>
      <vt:lpstr>CA_1</vt:lpstr>
      <vt:lpstr>CA_2</vt:lpstr>
      <vt:lpstr>Dab</vt:lpstr>
      <vt:lpstr>Dab_gomma</vt:lpstr>
      <vt:lpstr>Dv</vt:lpstr>
      <vt:lpstr>he</vt:lpstr>
      <vt:lpstr>hi</vt:lpstr>
      <vt:lpstr>J_H2</vt:lpstr>
      <vt:lpstr>Ja</vt:lpstr>
      <vt:lpstr>L</vt:lpstr>
      <vt:lpstr>Lambda</vt:lpstr>
      <vt:lpstr>LL</vt:lpstr>
      <vt:lpstr>Na</vt:lpstr>
      <vt:lpstr>p_1</vt:lpstr>
      <vt:lpstr>phi_e</vt:lpstr>
      <vt:lpstr>phi_i</vt:lpstr>
      <vt:lpstr>pve</vt:lpstr>
      <vt:lpstr>pvi</vt:lpstr>
      <vt:lpstr>qpunto</vt:lpstr>
      <vt:lpstr>Rd</vt:lpstr>
      <vt:lpstr>Rt_tot</vt:lpstr>
      <vt:lpstr>s</vt:lpstr>
      <vt:lpstr>Sol</vt:lpstr>
      <vt:lpstr>sp</vt:lpstr>
      <vt:lpstr>SS</vt:lpstr>
      <vt:lpstr>Sup</vt:lpstr>
      <vt:lpstr>T_1</vt:lpstr>
      <vt:lpstr>Te</vt:lpstr>
      <vt:lpstr>Ti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2022-11-03T13:21:10Z</dcterms:created>
  <dcterms:modified xsi:type="dcterms:W3CDTF">2022-11-03T15:34:20Z</dcterms:modified>
</cp:coreProperties>
</file>