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ina\Corsi\FTAC\2022\Lessons\Lesson-2\"/>
    </mc:Choice>
  </mc:AlternateContent>
  <xr:revisionPtr revIDLastSave="0" documentId="13_ncr:1_{24DE910F-C8E7-49C6-90C5-E81BBA253327}" xr6:coauthVersionLast="47" xr6:coauthVersionMax="47" xr10:uidLastSave="{00000000-0000-0000-0000-000000000000}"/>
  <bookViews>
    <workbookView xWindow="-108" yWindow="-108" windowWidth="23256" windowHeight="12456" activeTab="3" xr2:uid="{5F7E02CF-C1E8-4FA0-B1B3-CAD33AA6C426}"/>
  </bookViews>
  <sheets>
    <sheet name="Energy Supply" sheetId="1" r:id="rId1"/>
    <sheet name="Energey Efficiency Certificatio" sheetId="2" r:id="rId2"/>
    <sheet name="Humidity" sheetId="3" r:id="rId3"/>
    <sheet name="Envelope loss multipl layers" sheetId="4" r:id="rId4"/>
  </sheets>
  <externalReferences>
    <externalReference r:id="rId5"/>
  </externalReferences>
  <definedNames>
    <definedName name="cp">'[1]Air loss'!$F$25</definedName>
    <definedName name="Dv_1">'Envelope loss multipl layers'!$N$6</definedName>
    <definedName name="Dv_2">'Envelope loss multipl layers'!$N$7</definedName>
    <definedName name="Dv_3">'Envelope loss multipl layers'!$N$8</definedName>
    <definedName name="Dv0">'Envelope loss multipl layers'!$K$9</definedName>
    <definedName name="E">'Energy Supply'!$F$16</definedName>
    <definedName name="hin" localSheetId="3">'Envelope loss multipl layers'!$B$27</definedName>
    <definedName name="hin">'[1]Envelope loss Single layer'!$B$23</definedName>
    <definedName name="hout" localSheetId="3">'Envelope loss multipl layers'!$B$31</definedName>
    <definedName name="hout">'[1]Envelope loss Single layer'!$B$25</definedName>
    <definedName name="J">'Envelope loss multipl layers'!$L$12</definedName>
    <definedName name="lambda" localSheetId="3">'Envelope loss multipl layers'!$B$28</definedName>
    <definedName name="lambda">'[1]Envelope loss Single layer'!$B$24</definedName>
    <definedName name="lambda_1">'Envelope loss multipl layers'!$B$28</definedName>
    <definedName name="lambda_2">'Envelope loss multipl layers'!$B$29</definedName>
    <definedName name="lambda_3">'Envelope loss multipl layers'!$B$30</definedName>
    <definedName name="Mdot">'[1]Air loss'!$I$10</definedName>
    <definedName name="Q" localSheetId="3">'Envelope loss multipl layers'!$H$12</definedName>
    <definedName name="Q">'[1]Envelope loss Single layer'!$G$10</definedName>
    <definedName name="Q_1">'Energy Supply'!$F$14</definedName>
    <definedName name="Q_2">'Energy Supply'!$D$22</definedName>
    <definedName name="Qout">'Energy Supply'!$K$9</definedName>
    <definedName name="Qvent">'[1]Air loss'!$D$23</definedName>
    <definedName name="rho">'[1]Air loss'!$H$9</definedName>
    <definedName name="Rtot" localSheetId="3">'Envelope loss multipl layers'!$H$32</definedName>
    <definedName name="Rtot">'[1]Envelope loss Single layer'!$G$26</definedName>
    <definedName name="S" localSheetId="3">'Envelope loss multipl layers'!$G$5</definedName>
    <definedName name="S">'[1]Envelope loss Single layer'!$F$5</definedName>
    <definedName name="t" localSheetId="3">'Envelope loss multipl layers'!$G$2</definedName>
    <definedName name="t">'[1]Envelope loss Single layer'!$F$2</definedName>
    <definedName name="t_1">'Envelope loss multipl layers'!$G$6</definedName>
    <definedName name="t_2">'Envelope loss multipl layers'!$G$7</definedName>
    <definedName name="t_3">'Envelope loss multipl layers'!$G$8</definedName>
    <definedName name="Tin" localSheetId="3">'Envelope loss multipl layers'!$B$4</definedName>
    <definedName name="Tin">'[1]Envelope loss Single layer'!$B$4</definedName>
    <definedName name="Tout" localSheetId="3">'Envelope loss multipl layers'!$G$3</definedName>
    <definedName name="Tout">'[1]Envelope loss Single layer'!$F$3</definedName>
    <definedName name="Twin" localSheetId="3">'Envelope loss multipl layers'!$F$35</definedName>
    <definedName name="Twin">'[1]Envelope loss Single layer'!$E$29</definedName>
    <definedName name="Twout" localSheetId="3">'Envelope loss multipl layers'!$F$36</definedName>
    <definedName name="Twout">'[1]Envelope loss Single layer'!$E$31</definedName>
    <definedName name="V">'[1]Air loss'!$H$7</definedName>
    <definedName name="Vdot">'[1]Air loss'!$H$8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7" i="4" l="1"/>
  <c r="I36" i="4"/>
  <c r="L12" i="4"/>
  <c r="L32" i="4"/>
  <c r="L30" i="4"/>
  <c r="L29" i="4"/>
  <c r="L28" i="4"/>
  <c r="N8" i="4"/>
  <c r="N7" i="4"/>
  <c r="N6" i="4"/>
  <c r="I38" i="4"/>
  <c r="I35" i="4"/>
  <c r="I39" i="4"/>
  <c r="I34" i="4"/>
  <c r="H34" i="4"/>
  <c r="F39" i="4"/>
  <c r="F34" i="4"/>
  <c r="B46" i="4"/>
  <c r="A45" i="4"/>
  <c r="A46" i="4" s="1"/>
  <c r="B43" i="4"/>
  <c r="H31" i="4"/>
  <c r="H30" i="4"/>
  <c r="H29" i="4"/>
  <c r="H28" i="4"/>
  <c r="H27" i="4"/>
  <c r="C12" i="3"/>
  <c r="E12" i="3" s="1"/>
  <c r="C7" i="3"/>
  <c r="C6" i="2"/>
  <c r="G19" i="1"/>
  <c r="H32" i="4" l="1"/>
  <c r="K18" i="4"/>
  <c r="H12" i="4"/>
  <c r="F35" i="4" s="1"/>
  <c r="B44" i="4" l="1"/>
  <c r="F36" i="4"/>
  <c r="B45" i="4" l="1"/>
  <c r="F37" i="4"/>
  <c r="F38" i="4" s="1"/>
</calcChain>
</file>

<file path=xl/sharedStrings.xml><?xml version="1.0" encoding="utf-8"?>
<sst xmlns="http://schemas.openxmlformats.org/spreadsheetml/2006/main" count="219" uniqueCount="177">
  <si>
    <t>kW</t>
  </si>
  <si>
    <t>Q1 = Qout =</t>
  </si>
  <si>
    <t>Efficiency =</t>
  </si>
  <si>
    <t>Energy Supply</t>
  </si>
  <si>
    <t>E =</t>
  </si>
  <si>
    <t>Heat pump</t>
  </si>
  <si>
    <t>Q2 =</t>
  </si>
  <si>
    <t xml:space="preserve">    Qout = U*S*(Tin-Tout) + Vdot*cp*rho*(Tin-Tout) =</t>
  </si>
  <si>
    <t>Coefficient of Performance</t>
  </si>
  <si>
    <t>COP = Q1 / E =</t>
  </si>
  <si>
    <t>Calculation of EP</t>
  </si>
  <si>
    <t>Energy requirement of a buliding in a year</t>
  </si>
  <si>
    <t>Ep (kWh/m2/year) =</t>
  </si>
  <si>
    <t>kWh/m2/year</t>
  </si>
  <si>
    <t>A =</t>
  </si>
  <si>
    <t>m2</t>
  </si>
  <si>
    <t>En,year =</t>
  </si>
  <si>
    <t>kWh/year</t>
  </si>
  <si>
    <t>DeltaT = Tin-Tout = 20°C</t>
  </si>
  <si>
    <t xml:space="preserve">Qout = U*S*(Tin-Tout) + Vdot*cp*rho*(Tin-Tout) </t>
  </si>
  <si>
    <t>(Watt)</t>
  </si>
  <si>
    <t>(°C)</t>
  </si>
  <si>
    <t>(kWh/m2/year)</t>
  </si>
  <si>
    <t>DD = Degree Days =</t>
  </si>
  <si>
    <t>time(months)</t>
  </si>
  <si>
    <t>T (°C)</t>
  </si>
  <si>
    <t>20 °C</t>
  </si>
  <si>
    <t>Tin</t>
  </si>
  <si>
    <t>-5°C</t>
  </si>
  <si>
    <t>13 °C</t>
  </si>
  <si>
    <r>
      <t>(°C</t>
    </r>
    <r>
      <rPr>
        <sz val="11"/>
        <color theme="1"/>
        <rFont val="Calibri"/>
        <family val="2"/>
      </rPr>
      <t>·days</t>
    </r>
    <r>
      <rPr>
        <sz val="11"/>
        <color theme="1"/>
        <rFont val="Calibri"/>
        <family val="2"/>
        <scheme val="minor"/>
      </rPr>
      <t>)</t>
    </r>
  </si>
  <si>
    <t>Ndays = number of days with heating ON</t>
  </si>
  <si>
    <t>(days)</t>
  </si>
  <si>
    <t>in Parma</t>
  </si>
  <si>
    <t>Zone E</t>
  </si>
  <si>
    <t>APE (Attestazione Prestazione Energetica) convenzionale</t>
  </si>
  <si>
    <t>Ep = Qout /DeltaT*DD*Ndays / 4</t>
  </si>
  <si>
    <t>Humidity Definitions</t>
  </si>
  <si>
    <t>Relative Humidity (RH) %: is the ratio of vapour pressure and saturation pressure</t>
  </si>
  <si>
    <t>pv =</t>
  </si>
  <si>
    <t>Pa</t>
  </si>
  <si>
    <t>ptot =</t>
  </si>
  <si>
    <t>(1 bar)</t>
  </si>
  <si>
    <t>psat =</t>
  </si>
  <si>
    <t>RH = pv/psat =</t>
  </si>
  <si>
    <t>at 20 °C (is function of temperature)</t>
  </si>
  <si>
    <t>Absolute Humidity x (title): is the ration of the mass of water over the mass of dry air</t>
  </si>
  <si>
    <t>Mvapour =</t>
  </si>
  <si>
    <t>kg</t>
  </si>
  <si>
    <t>Mair =</t>
  </si>
  <si>
    <t>kgv/kga</t>
  </si>
  <si>
    <t>gv/kga</t>
  </si>
  <si>
    <t>x = Mvapour/Mair =</t>
  </si>
  <si>
    <t>°C</t>
  </si>
  <si>
    <t>T1 =</t>
  </si>
  <si>
    <t>x1 =</t>
  </si>
  <si>
    <t>T2 =</t>
  </si>
  <si>
    <t>x2 =</t>
  </si>
  <si>
    <t>RH1 =</t>
  </si>
  <si>
    <t>RH2 =</t>
  </si>
  <si>
    <t>Thermal Ohm Law</t>
  </si>
  <si>
    <t>Tin =</t>
  </si>
  <si>
    <t>Tout =</t>
  </si>
  <si>
    <t>Qout =</t>
  </si>
  <si>
    <t>(Tin-Tout)/Rt</t>
  </si>
  <si>
    <t>pv,in =</t>
  </si>
  <si>
    <t>pv,out =</t>
  </si>
  <si>
    <t>Diffusive Ohm law</t>
  </si>
  <si>
    <t>(W)</t>
  </si>
  <si>
    <t xml:space="preserve">Jout = </t>
  </si>
  <si>
    <t>(pv,in-pv,out)/Rd</t>
  </si>
  <si>
    <t>(kg/s)</t>
  </si>
  <si>
    <t>Rt = t/(S*lambda)</t>
  </si>
  <si>
    <t>Rd = t/(S*Dv)</t>
  </si>
  <si>
    <t>Dv is vapour diffusivity of the material of the wall</t>
  </si>
  <si>
    <t>Envelope loss</t>
  </si>
  <si>
    <t>Multiple layers</t>
  </si>
  <si>
    <t>concrete wall</t>
  </si>
  <si>
    <t>tickness t =</t>
  </si>
  <si>
    <t>m</t>
  </si>
  <si>
    <t>Tout (°C) =</t>
  </si>
  <si>
    <t>Tin (°C) =</t>
  </si>
  <si>
    <t>Qout = ?</t>
  </si>
  <si>
    <t>W</t>
  </si>
  <si>
    <t>S =</t>
  </si>
  <si>
    <t>t1 =</t>
  </si>
  <si>
    <t>Twin</t>
  </si>
  <si>
    <t xml:space="preserve">  Twout</t>
  </si>
  <si>
    <t>t2 =</t>
  </si>
  <si>
    <t>t3 =</t>
  </si>
  <si>
    <t>Thermal resistances</t>
  </si>
  <si>
    <t>Qout</t>
  </si>
  <si>
    <t>Ohm's law</t>
  </si>
  <si>
    <t>Q = (T1-T2)/Rtot =</t>
  </si>
  <si>
    <t>hin</t>
  </si>
  <si>
    <t>hout</t>
  </si>
  <si>
    <t>T1</t>
  </si>
  <si>
    <t>T2</t>
  </si>
  <si>
    <t>Q</t>
  </si>
  <si>
    <t>Transmittance formula: Q=(T1-T2)*U*S</t>
  </si>
  <si>
    <t>Transmittance U = Q/(S*(T1-T2)) = 1/(S*Rtot) =</t>
  </si>
  <si>
    <t>W/m2K</t>
  </si>
  <si>
    <t>Rtot = 1/(U*S) =&gt; U = 1/(S*R)</t>
  </si>
  <si>
    <t>lambda</t>
  </si>
  <si>
    <t>(thermal conducibility of the wall)</t>
  </si>
  <si>
    <t>W/mK</t>
  </si>
  <si>
    <t>Internal convection</t>
  </si>
  <si>
    <t>conduction</t>
  </si>
  <si>
    <t>external convection</t>
  </si>
  <si>
    <t>R1</t>
  </si>
  <si>
    <t>R2</t>
  </si>
  <si>
    <t>R3</t>
  </si>
  <si>
    <t>R4</t>
  </si>
  <si>
    <t>R5</t>
  </si>
  <si>
    <t>Thermal resistances in series</t>
  </si>
  <si>
    <t>hin =</t>
  </si>
  <si>
    <t>R1 =</t>
  </si>
  <si>
    <t>1/(S*hin) =</t>
  </si>
  <si>
    <t>K/W</t>
  </si>
  <si>
    <t>lambda1 =</t>
  </si>
  <si>
    <t>R2 =</t>
  </si>
  <si>
    <t>t1/(S*lambda1) =</t>
  </si>
  <si>
    <t>lambda2=</t>
  </si>
  <si>
    <t>R3 =</t>
  </si>
  <si>
    <t>t2/(S*lambda2) =</t>
  </si>
  <si>
    <t>lambda3 =</t>
  </si>
  <si>
    <t>R4 =</t>
  </si>
  <si>
    <t>t3/(S*lambda3) =</t>
  </si>
  <si>
    <t>hout =</t>
  </si>
  <si>
    <t>R5 =</t>
  </si>
  <si>
    <t>1/(S*hout) =</t>
  </si>
  <si>
    <t xml:space="preserve">Rtot = </t>
  </si>
  <si>
    <t>R1+R2+R3 =</t>
  </si>
  <si>
    <r>
      <t>Q = (Tin-</t>
    </r>
    <r>
      <rPr>
        <sz val="11"/>
        <color rgb="FFFF0000"/>
        <rFont val="Calibri"/>
        <family val="2"/>
        <scheme val="minor"/>
      </rPr>
      <t>Twin</t>
    </r>
    <r>
      <rPr>
        <sz val="11"/>
        <color theme="1"/>
        <rFont val="Calibri"/>
        <family val="2"/>
        <scheme val="minor"/>
      </rPr>
      <t>)/R1</t>
    </r>
  </si>
  <si>
    <t>Twin = Tin - Q*R1 =</t>
  </si>
  <si>
    <t>x (m)</t>
  </si>
  <si>
    <t>Twout</t>
  </si>
  <si>
    <t>Tout</t>
  </si>
  <si>
    <t>RH,out =</t>
  </si>
  <si>
    <t>RH,in =</t>
  </si>
  <si>
    <t>psat (pa)</t>
  </si>
  <si>
    <t>Humidity calculations</t>
  </si>
  <si>
    <t>Twin=</t>
  </si>
  <si>
    <r>
      <t>Q = (Twin-</t>
    </r>
    <r>
      <rPr>
        <sz val="11"/>
        <color rgb="FFFF0000"/>
        <rFont val="Calibri"/>
        <family val="2"/>
        <scheme val="minor"/>
      </rPr>
      <t>T2</t>
    </r>
    <r>
      <rPr>
        <sz val="11"/>
        <color theme="1"/>
        <rFont val="Calibri"/>
        <family val="2"/>
        <scheme val="minor"/>
      </rPr>
      <t>)/R2</t>
    </r>
  </si>
  <si>
    <r>
      <t>Q = (T2-</t>
    </r>
    <r>
      <rPr>
        <sz val="11"/>
        <color rgb="FFFF0000"/>
        <rFont val="Calibri"/>
        <family val="2"/>
        <scheme val="minor"/>
      </rPr>
      <t>T3</t>
    </r>
    <r>
      <rPr>
        <sz val="11"/>
        <color theme="1"/>
        <rFont val="Calibri"/>
        <family val="2"/>
        <scheme val="minor"/>
      </rPr>
      <t>)/R3</t>
    </r>
  </si>
  <si>
    <t>T3 =</t>
  </si>
  <si>
    <t>Twout =</t>
  </si>
  <si>
    <r>
      <t>Q = (T3-</t>
    </r>
    <r>
      <rPr>
        <sz val="11"/>
        <color rgb="FFFF0000"/>
        <rFont val="Calibri"/>
        <family val="2"/>
        <scheme val="minor"/>
      </rPr>
      <t>Twout</t>
    </r>
    <r>
      <rPr>
        <sz val="11"/>
        <color theme="1"/>
        <rFont val="Calibri"/>
        <family val="2"/>
        <scheme val="minor"/>
      </rPr>
      <t>)/R4</t>
    </r>
  </si>
  <si>
    <t>T2 = Twin - Q*R2 =</t>
  </si>
  <si>
    <t>T3 = T2 - Q*R3 =</t>
  </si>
  <si>
    <t>Twout = T3 - Q*R4 =</t>
  </si>
  <si>
    <t>psat (Pa)</t>
  </si>
  <si>
    <t>pv (Pa)</t>
  </si>
  <si>
    <t>Rd1 =</t>
  </si>
  <si>
    <t>Rd5 =</t>
  </si>
  <si>
    <t>Rdtot =</t>
  </si>
  <si>
    <t>Rd2 =</t>
  </si>
  <si>
    <t>Rd3 =</t>
  </si>
  <si>
    <t>pv1</t>
  </si>
  <si>
    <t>pv2</t>
  </si>
  <si>
    <t>J</t>
  </si>
  <si>
    <t>Rd4 =</t>
  </si>
  <si>
    <t>t1/(S*Dv1)</t>
  </si>
  <si>
    <t>t3/(S*Dv3)</t>
  </si>
  <si>
    <t>t2/(S*Dv2)</t>
  </si>
  <si>
    <t>Diffusicity of materials</t>
  </si>
  <si>
    <t>Mu factor = Diffusivity of air / Diffusivity of Material</t>
  </si>
  <si>
    <t>Mu1 =</t>
  </si>
  <si>
    <t>Mu2 =</t>
  </si>
  <si>
    <t>Mu3 =</t>
  </si>
  <si>
    <t>Dv0 =</t>
  </si>
  <si>
    <t>Dv1 = Dv0/Mu1 =</t>
  </si>
  <si>
    <t>Dv2 = Dv0/Mu2 =</t>
  </si>
  <si>
    <t>Dv3 = Dv0/Mu3 =</t>
  </si>
  <si>
    <t>J = (pv1-pv2)/Rd,tot=</t>
  </si>
  <si>
    <t>kg/h</t>
  </si>
  <si>
    <t>kg/hmPa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</si>
</sst>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9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6" fontId="0" fillId="0" borderId="0" xfId="0" applyNumberFormat="1"/>
    <xf numFmtId="0" fontId="0" fillId="0" borderId="0" xfId="0" applyFont="1"/>
    <xf numFmtId="10" fontId="0" fillId="0" borderId="0" xfId="0" applyNumberFormat="1"/>
    <xf numFmtId="11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10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Temperature profile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'Envelope loss multipl layers'!$A$43:$A$46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1.25</c:v>
                </c:pt>
                <c:pt idx="3">
                  <c:v>2.25</c:v>
                </c:pt>
              </c:numCache>
            </c:numRef>
          </c:xVal>
          <c:yVal>
            <c:numRef>
              <c:f>'Envelope loss multipl layers'!$B$43:$B$46</c:f>
              <c:numCache>
                <c:formatCode>General</c:formatCode>
                <c:ptCount val="4"/>
                <c:pt idx="0">
                  <c:v>20</c:v>
                </c:pt>
                <c:pt idx="1">
                  <c:v>19.435028248587571</c:v>
                </c:pt>
                <c:pt idx="2">
                  <c:v>18.305084745762713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31-4647-8B13-D980EA9EE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392303"/>
        <c:axId val="259390639"/>
      </c:scatterChart>
      <c:valAx>
        <c:axId val="259392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distance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390639"/>
        <c:crosses val="autoZero"/>
        <c:crossBetween val="midCat"/>
      </c:valAx>
      <c:valAx>
        <c:axId val="259390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3923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Glaser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'Envelope loss multipl layers'!$H$34:$H$39</c:f>
              <c:numCache>
                <c:formatCode>General</c:formatCode>
                <c:ptCount val="6"/>
                <c:pt idx="0">
                  <c:v>2338.8000000000002</c:v>
                </c:pt>
                <c:pt idx="1">
                  <c:v>2254.1999999999998</c:v>
                </c:pt>
                <c:pt idx="2">
                  <c:v>2104.4</c:v>
                </c:pt>
                <c:pt idx="3">
                  <c:v>1818.4</c:v>
                </c:pt>
                <c:pt idx="4">
                  <c:v>620.4</c:v>
                </c:pt>
                <c:pt idx="5">
                  <c:v>611.20000000000005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D9-446C-B64C-6B84AC2A60C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'Envelope loss multipl layers'!$I$34:$I$39</c:f>
              <c:numCache>
                <c:formatCode>General</c:formatCode>
                <c:ptCount val="6"/>
                <c:pt idx="0">
                  <c:v>1403.28</c:v>
                </c:pt>
                <c:pt idx="1">
                  <c:v>1403.28</c:v>
                </c:pt>
                <c:pt idx="2">
                  <c:v>1389.2931147540983</c:v>
                </c:pt>
                <c:pt idx="3">
                  <c:v>1039.6209836065573</c:v>
                </c:pt>
                <c:pt idx="4">
                  <c:v>550.08000000000004</c:v>
                </c:pt>
                <c:pt idx="5">
                  <c:v>550.08000000000004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9-446C-B64C-6B84AC2A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2726543"/>
        <c:axId val="1002704079"/>
      </c:lineChart>
      <c:catAx>
        <c:axId val="100272654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704079"/>
        <c:crosses val="autoZero"/>
        <c:auto val="1"/>
        <c:lblAlgn val="ctr"/>
        <c:lblOffset val="100"/>
        <c:noMultiLvlLbl val="0"/>
      </c:catAx>
      <c:valAx>
        <c:axId val="1002704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Pressure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2726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119298</xdr:colOff>
      <xdr:row>6</xdr:row>
      <xdr:rowOff>12537</xdr:rowOff>
    </xdr:from>
    <xdr:to>
      <xdr:col>3</xdr:col>
      <xdr:colOff>433439</xdr:colOff>
      <xdr:row>12</xdr:row>
      <xdr:rowOff>47523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34E0692-9BA6-40FD-A042-4EC17647B181}"/>
            </a:ext>
          </a:extLst>
        </xdr:cNvPr>
        <xdr:cNvSpPr/>
      </xdr:nvSpPr>
      <xdr:spPr>
        <a:xfrm>
          <a:off x="728898" y="1109817"/>
          <a:ext cx="1533341" cy="11322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601406</xdr:colOff>
      <xdr:row>6</xdr:row>
      <xdr:rowOff>45884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3E90518B-F01C-4415-8537-791FB099D6F1}"/>
            </a:ext>
          </a:extLst>
        </xdr:cNvPr>
        <xdr:cNvSpPr/>
      </xdr:nvSpPr>
      <xdr:spPr>
        <a:xfrm>
          <a:off x="609600" y="365760"/>
          <a:ext cx="1820606" cy="777404"/>
        </a:xfrm>
        <a:prstGeom prst="triangle">
          <a:avLst>
            <a:gd name="adj" fmla="val 522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269240</xdr:colOff>
      <xdr:row>6</xdr:row>
      <xdr:rowOff>137160</xdr:rowOff>
    </xdr:from>
    <xdr:to>
      <xdr:col>3</xdr:col>
      <xdr:colOff>299720</xdr:colOff>
      <xdr:row>11</xdr:row>
      <xdr:rowOff>142240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AB67522-439C-457D-9EA4-AD90E7B6D389}"/>
            </a:ext>
          </a:extLst>
        </xdr:cNvPr>
        <xdr:cNvSpPr txBox="1"/>
      </xdr:nvSpPr>
      <xdr:spPr>
        <a:xfrm>
          <a:off x="878840" y="1234440"/>
          <a:ext cx="1249680" cy="919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/>
            <a:t>Tin=20°C</a:t>
          </a:r>
        </a:p>
      </xdr:txBody>
    </xdr:sp>
    <xdr:clientData/>
  </xdr:twoCellAnchor>
  <xdr:twoCellAnchor>
    <xdr:from>
      <xdr:col>3</xdr:col>
      <xdr:colOff>31954</xdr:colOff>
      <xdr:row>7</xdr:row>
      <xdr:rowOff>77020</xdr:rowOff>
    </xdr:from>
    <xdr:to>
      <xdr:col>4</xdr:col>
      <xdr:colOff>99060</xdr:colOff>
      <xdr:row>8</xdr:row>
      <xdr:rowOff>169034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6569937D-9D37-40D0-8DC0-74C7585FF9F3}"/>
            </a:ext>
          </a:extLst>
        </xdr:cNvPr>
        <xdr:cNvSpPr/>
      </xdr:nvSpPr>
      <xdr:spPr>
        <a:xfrm>
          <a:off x="1860754" y="1357180"/>
          <a:ext cx="676706" cy="274894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144938</xdr:colOff>
      <xdr:row>9</xdr:row>
      <xdr:rowOff>181919</xdr:rowOff>
    </xdr:from>
    <xdr:to>
      <xdr:col>2</xdr:col>
      <xdr:colOff>419832</xdr:colOff>
      <xdr:row>13</xdr:row>
      <xdr:rowOff>127105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344ADBDF-006D-46AC-AA14-9B367F065062}"/>
            </a:ext>
          </a:extLst>
        </xdr:cNvPr>
        <xdr:cNvSpPr/>
      </xdr:nvSpPr>
      <xdr:spPr>
        <a:xfrm rot="16200000">
          <a:off x="1163232" y="2028745"/>
          <a:ext cx="676706" cy="274894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71120</xdr:colOff>
      <xdr:row>13</xdr:row>
      <xdr:rowOff>116840</xdr:rowOff>
    </xdr:from>
    <xdr:to>
      <xdr:col>2</xdr:col>
      <xdr:colOff>477520</xdr:colOff>
      <xdr:row>16</xdr:row>
      <xdr:rowOff>157480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E57FF066-2E71-48E6-BAD5-C996B563925E}"/>
            </a:ext>
          </a:extLst>
        </xdr:cNvPr>
        <xdr:cNvSpPr/>
      </xdr:nvSpPr>
      <xdr:spPr>
        <a:xfrm>
          <a:off x="1290320" y="2494280"/>
          <a:ext cx="406400" cy="58928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528232</xdr:colOff>
      <xdr:row>14</xdr:row>
      <xdr:rowOff>169465</xdr:rowOff>
    </xdr:from>
    <xdr:to>
      <xdr:col>3</xdr:col>
      <xdr:colOff>595338</xdr:colOff>
      <xdr:row>16</xdr:row>
      <xdr:rowOff>78599</xdr:rowOff>
    </xdr:to>
    <xdr:sp macro="" textlink="">
      <xdr:nvSpPr>
        <xdr:cNvPr id="8" name="Arrow: Right 7">
          <a:extLst>
            <a:ext uri="{FF2B5EF4-FFF2-40B4-BE49-F238E27FC236}">
              <a16:creationId xmlns:a16="http://schemas.microsoft.com/office/drawing/2014/main" id="{60D52493-179A-4B52-8D77-203A1E3F88DA}"/>
            </a:ext>
          </a:extLst>
        </xdr:cNvPr>
        <xdr:cNvSpPr/>
      </xdr:nvSpPr>
      <xdr:spPr>
        <a:xfrm rot="10800000">
          <a:off x="1747432" y="2729785"/>
          <a:ext cx="676706" cy="274894"/>
        </a:xfrm>
        <a:prstGeom prst="right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134778</xdr:colOff>
      <xdr:row>16</xdr:row>
      <xdr:rowOff>166679</xdr:rowOff>
    </xdr:from>
    <xdr:to>
      <xdr:col>2</xdr:col>
      <xdr:colOff>409672</xdr:colOff>
      <xdr:row>20</xdr:row>
      <xdr:rowOff>111865</xdr:rowOff>
    </xdr:to>
    <xdr:sp macro="" textlink="">
      <xdr:nvSpPr>
        <xdr:cNvPr id="9" name="Arrow: Right 8">
          <a:extLst>
            <a:ext uri="{FF2B5EF4-FFF2-40B4-BE49-F238E27FC236}">
              <a16:creationId xmlns:a16="http://schemas.microsoft.com/office/drawing/2014/main" id="{4F30E1C7-98F6-4884-AFA6-96F9D2B8FC64}"/>
            </a:ext>
          </a:extLst>
        </xdr:cNvPr>
        <xdr:cNvSpPr/>
      </xdr:nvSpPr>
      <xdr:spPr>
        <a:xfrm rot="16200000">
          <a:off x="1153072" y="3293665"/>
          <a:ext cx="676706" cy="274894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48126</xdr:colOff>
      <xdr:row>17</xdr:row>
      <xdr:rowOff>172452</xdr:rowOff>
    </xdr:from>
    <xdr:to>
      <xdr:col>6</xdr:col>
      <xdr:colOff>577516</xdr:colOff>
      <xdr:row>18</xdr:row>
      <xdr:rowOff>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C653C06-BAFC-437A-A3B3-047F28FAD850}"/>
            </a:ext>
          </a:extLst>
        </xdr:cNvPr>
        <xdr:cNvCxnSpPr/>
      </xdr:nvCxnSpPr>
      <xdr:spPr>
        <a:xfrm>
          <a:off x="657726" y="3308684"/>
          <a:ext cx="3577390" cy="1203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56147</xdr:colOff>
      <xdr:row>12</xdr:row>
      <xdr:rowOff>24063</xdr:rowOff>
    </xdr:from>
    <xdr:to>
      <xdr:col>1</xdr:col>
      <xdr:colOff>68179</xdr:colOff>
      <xdr:row>17</xdr:row>
      <xdr:rowOff>172452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53E31727-AB31-43E0-85C2-EF7F2CD15CF1}"/>
            </a:ext>
          </a:extLst>
        </xdr:cNvPr>
        <xdr:cNvCxnSpPr/>
      </xdr:nvCxnSpPr>
      <xdr:spPr>
        <a:xfrm flipV="1">
          <a:off x="665747" y="2237874"/>
          <a:ext cx="12032" cy="107081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84221</xdr:colOff>
      <xdr:row>13</xdr:row>
      <xdr:rowOff>104273</xdr:rowOff>
    </xdr:from>
    <xdr:to>
      <xdr:col>6</xdr:col>
      <xdr:colOff>12032</xdr:colOff>
      <xdr:row>13</xdr:row>
      <xdr:rowOff>112294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81AA0E6C-16EC-4742-8EE5-AB92306F39AD}"/>
            </a:ext>
          </a:extLst>
        </xdr:cNvPr>
        <xdr:cNvCxnSpPr/>
      </xdr:nvCxnSpPr>
      <xdr:spPr>
        <a:xfrm>
          <a:off x="693821" y="2502568"/>
          <a:ext cx="2975811" cy="8021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4011</xdr:colOff>
      <xdr:row>13</xdr:row>
      <xdr:rowOff>100263</xdr:rowOff>
    </xdr:from>
    <xdr:to>
      <xdr:col>4</xdr:col>
      <xdr:colOff>605639</xdr:colOff>
      <xdr:row>16</xdr:row>
      <xdr:rowOff>88232</xdr:rowOff>
    </xdr:to>
    <xdr:sp macro="" textlink="">
      <xdr:nvSpPr>
        <xdr:cNvPr id="10" name="Freeform: Shape 9">
          <a:extLst>
            <a:ext uri="{FF2B5EF4-FFF2-40B4-BE49-F238E27FC236}">
              <a16:creationId xmlns:a16="http://schemas.microsoft.com/office/drawing/2014/main" id="{C8791739-C7CB-4B6F-9BB2-D30A310883CA}"/>
            </a:ext>
          </a:extLst>
        </xdr:cNvPr>
        <xdr:cNvSpPr/>
      </xdr:nvSpPr>
      <xdr:spPr>
        <a:xfrm>
          <a:off x="1223211" y="2498558"/>
          <a:ext cx="1820828" cy="541421"/>
        </a:xfrm>
        <a:custGeom>
          <a:avLst/>
          <a:gdLst>
            <a:gd name="connsiteX0" fmla="*/ 0 w 1820828"/>
            <a:gd name="connsiteY0" fmla="*/ 0 h 541421"/>
            <a:gd name="connsiteX1" fmla="*/ 20052 w 1820828"/>
            <a:gd name="connsiteY1" fmla="*/ 8021 h 541421"/>
            <a:gd name="connsiteX2" fmla="*/ 52136 w 1820828"/>
            <a:gd name="connsiteY2" fmla="*/ 16042 h 541421"/>
            <a:gd name="connsiteX3" fmla="*/ 76200 w 1820828"/>
            <a:gd name="connsiteY3" fmla="*/ 44116 h 541421"/>
            <a:gd name="connsiteX4" fmla="*/ 112294 w 1820828"/>
            <a:gd name="connsiteY4" fmla="*/ 72189 h 541421"/>
            <a:gd name="connsiteX5" fmla="*/ 120315 w 1820828"/>
            <a:gd name="connsiteY5" fmla="*/ 84221 h 541421"/>
            <a:gd name="connsiteX6" fmla="*/ 132347 w 1820828"/>
            <a:gd name="connsiteY6" fmla="*/ 100263 h 541421"/>
            <a:gd name="connsiteX7" fmla="*/ 140368 w 1820828"/>
            <a:gd name="connsiteY7" fmla="*/ 116305 h 541421"/>
            <a:gd name="connsiteX8" fmla="*/ 152400 w 1820828"/>
            <a:gd name="connsiteY8" fmla="*/ 128337 h 541421"/>
            <a:gd name="connsiteX9" fmla="*/ 160421 w 1820828"/>
            <a:gd name="connsiteY9" fmla="*/ 144379 h 541421"/>
            <a:gd name="connsiteX10" fmla="*/ 172452 w 1820828"/>
            <a:gd name="connsiteY10" fmla="*/ 164431 h 541421"/>
            <a:gd name="connsiteX11" fmla="*/ 180473 w 1820828"/>
            <a:gd name="connsiteY11" fmla="*/ 180474 h 541421"/>
            <a:gd name="connsiteX12" fmla="*/ 208547 w 1820828"/>
            <a:gd name="connsiteY12" fmla="*/ 220579 h 541421"/>
            <a:gd name="connsiteX13" fmla="*/ 224589 w 1820828"/>
            <a:gd name="connsiteY13" fmla="*/ 244642 h 541421"/>
            <a:gd name="connsiteX14" fmla="*/ 228600 w 1820828"/>
            <a:gd name="connsiteY14" fmla="*/ 256674 h 541421"/>
            <a:gd name="connsiteX15" fmla="*/ 252663 w 1820828"/>
            <a:gd name="connsiteY15" fmla="*/ 272716 h 541421"/>
            <a:gd name="connsiteX16" fmla="*/ 292768 w 1820828"/>
            <a:gd name="connsiteY16" fmla="*/ 308810 h 541421"/>
            <a:gd name="connsiteX17" fmla="*/ 316831 w 1820828"/>
            <a:gd name="connsiteY17" fmla="*/ 332874 h 541421"/>
            <a:gd name="connsiteX18" fmla="*/ 328863 w 1820828"/>
            <a:gd name="connsiteY18" fmla="*/ 348916 h 541421"/>
            <a:gd name="connsiteX19" fmla="*/ 344905 w 1820828"/>
            <a:gd name="connsiteY19" fmla="*/ 360947 h 541421"/>
            <a:gd name="connsiteX20" fmla="*/ 356936 w 1820828"/>
            <a:gd name="connsiteY20" fmla="*/ 381000 h 541421"/>
            <a:gd name="connsiteX21" fmla="*/ 393031 w 1820828"/>
            <a:gd name="connsiteY21" fmla="*/ 417095 h 541421"/>
            <a:gd name="connsiteX22" fmla="*/ 409073 w 1820828"/>
            <a:gd name="connsiteY22" fmla="*/ 437147 h 541421"/>
            <a:gd name="connsiteX23" fmla="*/ 441157 w 1820828"/>
            <a:gd name="connsiteY23" fmla="*/ 461210 h 541421"/>
            <a:gd name="connsiteX24" fmla="*/ 481263 w 1820828"/>
            <a:gd name="connsiteY24" fmla="*/ 477253 h 541421"/>
            <a:gd name="connsiteX25" fmla="*/ 581526 w 1820828"/>
            <a:gd name="connsiteY25" fmla="*/ 469231 h 541421"/>
            <a:gd name="connsiteX26" fmla="*/ 657726 w 1820828"/>
            <a:gd name="connsiteY26" fmla="*/ 453189 h 541421"/>
            <a:gd name="connsiteX27" fmla="*/ 677778 w 1820828"/>
            <a:gd name="connsiteY27" fmla="*/ 449179 h 541421"/>
            <a:gd name="connsiteX28" fmla="*/ 729915 w 1820828"/>
            <a:gd name="connsiteY28" fmla="*/ 489284 h 541421"/>
            <a:gd name="connsiteX29" fmla="*/ 745957 w 1820828"/>
            <a:gd name="connsiteY29" fmla="*/ 501316 h 541421"/>
            <a:gd name="connsiteX30" fmla="*/ 794084 w 1820828"/>
            <a:gd name="connsiteY30" fmla="*/ 541421 h 541421"/>
            <a:gd name="connsiteX31" fmla="*/ 826168 w 1820828"/>
            <a:gd name="connsiteY31" fmla="*/ 529389 h 541421"/>
            <a:gd name="connsiteX32" fmla="*/ 854242 w 1820828"/>
            <a:gd name="connsiteY32" fmla="*/ 521368 h 541421"/>
            <a:gd name="connsiteX33" fmla="*/ 866273 w 1820828"/>
            <a:gd name="connsiteY33" fmla="*/ 517358 h 541421"/>
            <a:gd name="connsiteX34" fmla="*/ 874294 w 1820828"/>
            <a:gd name="connsiteY34" fmla="*/ 505326 h 541421"/>
            <a:gd name="connsiteX35" fmla="*/ 918410 w 1820828"/>
            <a:gd name="connsiteY35" fmla="*/ 489284 h 541421"/>
            <a:gd name="connsiteX36" fmla="*/ 958515 w 1820828"/>
            <a:gd name="connsiteY36" fmla="*/ 501316 h 541421"/>
            <a:gd name="connsiteX37" fmla="*/ 974557 w 1820828"/>
            <a:gd name="connsiteY37" fmla="*/ 509337 h 541421"/>
            <a:gd name="connsiteX38" fmla="*/ 998621 w 1820828"/>
            <a:gd name="connsiteY38" fmla="*/ 513347 h 541421"/>
            <a:gd name="connsiteX39" fmla="*/ 1058778 w 1820828"/>
            <a:gd name="connsiteY39" fmla="*/ 505326 h 541421"/>
            <a:gd name="connsiteX40" fmla="*/ 1094873 w 1820828"/>
            <a:gd name="connsiteY40" fmla="*/ 489284 h 541421"/>
            <a:gd name="connsiteX41" fmla="*/ 1151021 w 1820828"/>
            <a:gd name="connsiteY41" fmla="*/ 449179 h 541421"/>
            <a:gd name="connsiteX42" fmla="*/ 1175084 w 1820828"/>
            <a:gd name="connsiteY42" fmla="*/ 409074 h 541421"/>
            <a:gd name="connsiteX43" fmla="*/ 1215189 w 1820828"/>
            <a:gd name="connsiteY43" fmla="*/ 368968 h 541421"/>
            <a:gd name="connsiteX44" fmla="*/ 1251284 w 1820828"/>
            <a:gd name="connsiteY44" fmla="*/ 348916 h 541421"/>
            <a:gd name="connsiteX45" fmla="*/ 1291389 w 1820828"/>
            <a:gd name="connsiteY45" fmla="*/ 332874 h 541421"/>
            <a:gd name="connsiteX46" fmla="*/ 1395663 w 1820828"/>
            <a:gd name="connsiteY46" fmla="*/ 336884 h 541421"/>
            <a:gd name="connsiteX47" fmla="*/ 1415715 w 1820828"/>
            <a:gd name="connsiteY47" fmla="*/ 332874 h 541421"/>
            <a:gd name="connsiteX48" fmla="*/ 1463842 w 1820828"/>
            <a:gd name="connsiteY48" fmla="*/ 316831 h 541421"/>
            <a:gd name="connsiteX49" fmla="*/ 1515978 w 1820828"/>
            <a:gd name="connsiteY49" fmla="*/ 296779 h 541421"/>
            <a:gd name="connsiteX50" fmla="*/ 1592178 w 1820828"/>
            <a:gd name="connsiteY50" fmla="*/ 260684 h 541421"/>
            <a:gd name="connsiteX51" fmla="*/ 1604210 w 1820828"/>
            <a:gd name="connsiteY51" fmla="*/ 252663 h 541421"/>
            <a:gd name="connsiteX52" fmla="*/ 1608221 w 1820828"/>
            <a:gd name="connsiteY52" fmla="*/ 224589 h 541421"/>
            <a:gd name="connsiteX53" fmla="*/ 1620252 w 1820828"/>
            <a:gd name="connsiteY53" fmla="*/ 212558 h 541421"/>
            <a:gd name="connsiteX54" fmla="*/ 1668378 w 1820828"/>
            <a:gd name="connsiteY54" fmla="*/ 168442 h 541421"/>
            <a:gd name="connsiteX55" fmla="*/ 1684421 w 1820828"/>
            <a:gd name="connsiteY55" fmla="*/ 152400 h 541421"/>
            <a:gd name="connsiteX56" fmla="*/ 1700463 w 1820828"/>
            <a:gd name="connsiteY56" fmla="*/ 132347 h 541421"/>
            <a:gd name="connsiteX57" fmla="*/ 1728536 w 1820828"/>
            <a:gd name="connsiteY57" fmla="*/ 108284 h 541421"/>
            <a:gd name="connsiteX58" fmla="*/ 1768642 w 1820828"/>
            <a:gd name="connsiteY58" fmla="*/ 92242 h 541421"/>
            <a:gd name="connsiteX59" fmla="*/ 1800726 w 1820828"/>
            <a:gd name="connsiteY59" fmla="*/ 80210 h 541421"/>
            <a:gd name="connsiteX60" fmla="*/ 1808747 w 1820828"/>
            <a:gd name="connsiteY60" fmla="*/ 60158 h 541421"/>
            <a:gd name="connsiteX61" fmla="*/ 1820778 w 1820828"/>
            <a:gd name="connsiteY61" fmla="*/ 40105 h 541421"/>
            <a:gd name="connsiteX62" fmla="*/ 1812757 w 1820828"/>
            <a:gd name="connsiteY62" fmla="*/ 24063 h 5414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</a:cxnLst>
          <a:rect l="l" t="t" r="r" b="b"/>
          <a:pathLst>
            <a:path w="1820828" h="541421">
              <a:moveTo>
                <a:pt x="0" y="0"/>
              </a:moveTo>
              <a:cubicBezTo>
                <a:pt x="6684" y="2674"/>
                <a:pt x="13171" y="5904"/>
                <a:pt x="20052" y="8021"/>
              </a:cubicBezTo>
              <a:cubicBezTo>
                <a:pt x="30588" y="11263"/>
                <a:pt x="52136" y="16042"/>
                <a:pt x="52136" y="16042"/>
              </a:cubicBezTo>
              <a:cubicBezTo>
                <a:pt x="61436" y="29992"/>
                <a:pt x="61323" y="31528"/>
                <a:pt x="76200" y="44116"/>
              </a:cubicBezTo>
              <a:cubicBezTo>
                <a:pt x="87836" y="53961"/>
                <a:pt x="112294" y="72189"/>
                <a:pt x="112294" y="72189"/>
              </a:cubicBezTo>
              <a:cubicBezTo>
                <a:pt x="114968" y="76200"/>
                <a:pt x="117513" y="80299"/>
                <a:pt x="120315" y="84221"/>
              </a:cubicBezTo>
              <a:cubicBezTo>
                <a:pt x="124200" y="89660"/>
                <a:pt x="128804" y="94595"/>
                <a:pt x="132347" y="100263"/>
              </a:cubicBezTo>
              <a:cubicBezTo>
                <a:pt x="135516" y="105333"/>
                <a:pt x="136893" y="111440"/>
                <a:pt x="140368" y="116305"/>
              </a:cubicBezTo>
              <a:cubicBezTo>
                <a:pt x="143665" y="120920"/>
                <a:pt x="149103" y="123722"/>
                <a:pt x="152400" y="128337"/>
              </a:cubicBezTo>
              <a:cubicBezTo>
                <a:pt x="155875" y="133202"/>
                <a:pt x="157518" y="139153"/>
                <a:pt x="160421" y="144379"/>
              </a:cubicBezTo>
              <a:cubicBezTo>
                <a:pt x="164206" y="151193"/>
                <a:pt x="168667" y="157617"/>
                <a:pt x="172452" y="164431"/>
              </a:cubicBezTo>
              <a:cubicBezTo>
                <a:pt x="175355" y="169657"/>
                <a:pt x="177397" y="175347"/>
                <a:pt x="180473" y="180474"/>
              </a:cubicBezTo>
              <a:cubicBezTo>
                <a:pt x="190348" y="196933"/>
                <a:pt x="197578" y="205954"/>
                <a:pt x="208547" y="220579"/>
              </a:cubicBezTo>
              <a:cubicBezTo>
                <a:pt x="218081" y="249184"/>
                <a:pt x="204562" y="214602"/>
                <a:pt x="224589" y="244642"/>
              </a:cubicBezTo>
              <a:cubicBezTo>
                <a:pt x="226934" y="248160"/>
                <a:pt x="225611" y="253685"/>
                <a:pt x="228600" y="256674"/>
              </a:cubicBezTo>
              <a:cubicBezTo>
                <a:pt x="235417" y="263491"/>
                <a:pt x="252663" y="272716"/>
                <a:pt x="252663" y="272716"/>
              </a:cubicBezTo>
              <a:cubicBezTo>
                <a:pt x="274581" y="305592"/>
                <a:pt x="238851" y="254891"/>
                <a:pt x="292768" y="308810"/>
              </a:cubicBezTo>
              <a:cubicBezTo>
                <a:pt x="300789" y="316831"/>
                <a:pt x="310025" y="323799"/>
                <a:pt x="316831" y="332874"/>
              </a:cubicBezTo>
              <a:cubicBezTo>
                <a:pt x="320842" y="338221"/>
                <a:pt x="324136" y="344190"/>
                <a:pt x="328863" y="348916"/>
              </a:cubicBezTo>
              <a:cubicBezTo>
                <a:pt x="333589" y="353642"/>
                <a:pt x="339558" y="356937"/>
                <a:pt x="344905" y="360947"/>
              </a:cubicBezTo>
              <a:cubicBezTo>
                <a:pt x="348915" y="367631"/>
                <a:pt x="351863" y="375081"/>
                <a:pt x="356936" y="381000"/>
              </a:cubicBezTo>
              <a:cubicBezTo>
                <a:pt x="368009" y="393919"/>
                <a:pt x="382401" y="403808"/>
                <a:pt x="393031" y="417095"/>
              </a:cubicBezTo>
              <a:cubicBezTo>
                <a:pt x="398378" y="423779"/>
                <a:pt x="402763" y="431363"/>
                <a:pt x="409073" y="437147"/>
              </a:cubicBezTo>
              <a:cubicBezTo>
                <a:pt x="418928" y="446180"/>
                <a:pt x="428475" y="456983"/>
                <a:pt x="441157" y="461210"/>
              </a:cubicBezTo>
              <a:cubicBezTo>
                <a:pt x="470893" y="471122"/>
                <a:pt x="457659" y="465449"/>
                <a:pt x="481263" y="477253"/>
              </a:cubicBezTo>
              <a:cubicBezTo>
                <a:pt x="514684" y="474579"/>
                <a:pt x="548306" y="473761"/>
                <a:pt x="581526" y="469231"/>
              </a:cubicBezTo>
              <a:cubicBezTo>
                <a:pt x="607245" y="465724"/>
                <a:pt x="632315" y="458483"/>
                <a:pt x="657726" y="453189"/>
              </a:cubicBezTo>
              <a:lnTo>
                <a:pt x="677778" y="449179"/>
              </a:lnTo>
              <a:cubicBezTo>
                <a:pt x="719221" y="481413"/>
                <a:pt x="701647" y="468083"/>
                <a:pt x="729915" y="489284"/>
              </a:cubicBezTo>
              <a:cubicBezTo>
                <a:pt x="735262" y="493295"/>
                <a:pt x="741230" y="496590"/>
                <a:pt x="745957" y="501316"/>
              </a:cubicBezTo>
              <a:cubicBezTo>
                <a:pt x="779543" y="534901"/>
                <a:pt x="762683" y="522580"/>
                <a:pt x="794084" y="541421"/>
              </a:cubicBezTo>
              <a:cubicBezTo>
                <a:pt x="839136" y="530157"/>
                <a:pt x="780021" y="546170"/>
                <a:pt x="826168" y="529389"/>
              </a:cubicBezTo>
              <a:cubicBezTo>
                <a:pt x="835315" y="526063"/>
                <a:pt x="844920" y="524164"/>
                <a:pt x="854242" y="521368"/>
              </a:cubicBezTo>
              <a:cubicBezTo>
                <a:pt x="858291" y="520153"/>
                <a:pt x="862263" y="518695"/>
                <a:pt x="866273" y="517358"/>
              </a:cubicBezTo>
              <a:cubicBezTo>
                <a:pt x="868947" y="513347"/>
                <a:pt x="870372" y="508128"/>
                <a:pt x="874294" y="505326"/>
              </a:cubicBezTo>
              <a:cubicBezTo>
                <a:pt x="879176" y="501839"/>
                <a:pt x="914553" y="490570"/>
                <a:pt x="918410" y="489284"/>
              </a:cubicBezTo>
              <a:cubicBezTo>
                <a:pt x="931778" y="493295"/>
                <a:pt x="945371" y="496622"/>
                <a:pt x="958515" y="501316"/>
              </a:cubicBezTo>
              <a:cubicBezTo>
                <a:pt x="964145" y="503327"/>
                <a:pt x="968831" y="507619"/>
                <a:pt x="974557" y="509337"/>
              </a:cubicBezTo>
              <a:cubicBezTo>
                <a:pt x="982346" y="511674"/>
                <a:pt x="990600" y="512010"/>
                <a:pt x="998621" y="513347"/>
              </a:cubicBezTo>
              <a:cubicBezTo>
                <a:pt x="1018673" y="510673"/>
                <a:pt x="1039152" y="510232"/>
                <a:pt x="1058778" y="505326"/>
              </a:cubicBezTo>
              <a:cubicBezTo>
                <a:pt x="1071551" y="502133"/>
                <a:pt x="1083363" y="495678"/>
                <a:pt x="1094873" y="489284"/>
              </a:cubicBezTo>
              <a:cubicBezTo>
                <a:pt x="1118445" y="476188"/>
                <a:pt x="1131306" y="464951"/>
                <a:pt x="1151021" y="449179"/>
              </a:cubicBezTo>
              <a:cubicBezTo>
                <a:pt x="1157485" y="429782"/>
                <a:pt x="1155788" y="430943"/>
                <a:pt x="1175084" y="409074"/>
              </a:cubicBezTo>
              <a:cubicBezTo>
                <a:pt x="1187593" y="394898"/>
                <a:pt x="1198662" y="378149"/>
                <a:pt x="1215189" y="368968"/>
              </a:cubicBezTo>
              <a:cubicBezTo>
                <a:pt x="1227221" y="362284"/>
                <a:pt x="1238973" y="355071"/>
                <a:pt x="1251284" y="348916"/>
              </a:cubicBezTo>
              <a:cubicBezTo>
                <a:pt x="1269556" y="339780"/>
                <a:pt x="1275382" y="338209"/>
                <a:pt x="1291389" y="332874"/>
              </a:cubicBezTo>
              <a:cubicBezTo>
                <a:pt x="1326147" y="334211"/>
                <a:pt x="1360879" y="336884"/>
                <a:pt x="1395663" y="336884"/>
              </a:cubicBezTo>
              <a:cubicBezTo>
                <a:pt x="1402479" y="336884"/>
                <a:pt x="1409176" y="334797"/>
                <a:pt x="1415715" y="332874"/>
              </a:cubicBezTo>
              <a:cubicBezTo>
                <a:pt x="1431938" y="328102"/>
                <a:pt x="1448717" y="324393"/>
                <a:pt x="1463842" y="316831"/>
              </a:cubicBezTo>
              <a:cubicBezTo>
                <a:pt x="1502023" y="297741"/>
                <a:pt x="1484201" y="303134"/>
                <a:pt x="1515978" y="296779"/>
              </a:cubicBezTo>
              <a:cubicBezTo>
                <a:pt x="1542003" y="286369"/>
                <a:pt x="1568702" y="276334"/>
                <a:pt x="1592178" y="260684"/>
              </a:cubicBezTo>
              <a:lnTo>
                <a:pt x="1604210" y="252663"/>
              </a:lnTo>
              <a:cubicBezTo>
                <a:pt x="1605547" y="243305"/>
                <a:pt x="1604710" y="233366"/>
                <a:pt x="1608221" y="224589"/>
              </a:cubicBezTo>
              <a:cubicBezTo>
                <a:pt x="1610327" y="219323"/>
                <a:pt x="1615946" y="216249"/>
                <a:pt x="1620252" y="212558"/>
              </a:cubicBezTo>
              <a:cubicBezTo>
                <a:pt x="1669504" y="170341"/>
                <a:pt x="1583800" y="253018"/>
                <a:pt x="1668378" y="168442"/>
              </a:cubicBezTo>
              <a:cubicBezTo>
                <a:pt x="1673726" y="163095"/>
                <a:pt x="1679697" y="158305"/>
                <a:pt x="1684421" y="152400"/>
              </a:cubicBezTo>
              <a:cubicBezTo>
                <a:pt x="1689768" y="145716"/>
                <a:pt x="1694410" y="138400"/>
                <a:pt x="1700463" y="132347"/>
              </a:cubicBezTo>
              <a:cubicBezTo>
                <a:pt x="1709178" y="123632"/>
                <a:pt x="1718568" y="115533"/>
                <a:pt x="1728536" y="108284"/>
              </a:cubicBezTo>
              <a:cubicBezTo>
                <a:pt x="1739140" y="100572"/>
                <a:pt x="1757292" y="96369"/>
                <a:pt x="1768642" y="92242"/>
              </a:cubicBezTo>
              <a:cubicBezTo>
                <a:pt x="1821433" y="73045"/>
                <a:pt x="1764943" y="92139"/>
                <a:pt x="1800726" y="80210"/>
              </a:cubicBezTo>
              <a:cubicBezTo>
                <a:pt x="1803400" y="73526"/>
                <a:pt x="1805528" y="66597"/>
                <a:pt x="1808747" y="60158"/>
              </a:cubicBezTo>
              <a:cubicBezTo>
                <a:pt x="1812233" y="53186"/>
                <a:pt x="1819917" y="47852"/>
                <a:pt x="1820778" y="40105"/>
              </a:cubicBezTo>
              <a:cubicBezTo>
                <a:pt x="1821438" y="34163"/>
                <a:pt x="1815431" y="29410"/>
                <a:pt x="1812757" y="24063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56148</xdr:colOff>
      <xdr:row>15</xdr:row>
      <xdr:rowOff>184484</xdr:rowOff>
    </xdr:from>
    <xdr:to>
      <xdr:col>5</xdr:col>
      <xdr:colOff>593559</xdr:colOff>
      <xdr:row>16</xdr:row>
      <xdr:rowOff>8021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85851B5A-FCEB-474E-A14B-A7DFC67E081D}"/>
            </a:ext>
          </a:extLst>
        </xdr:cNvPr>
        <xdr:cNvCxnSpPr/>
      </xdr:nvCxnSpPr>
      <xdr:spPr>
        <a:xfrm>
          <a:off x="665748" y="2951747"/>
          <a:ext cx="2975811" cy="8021"/>
        </a:xfrm>
        <a:prstGeom prst="line">
          <a:avLst/>
        </a:prstGeom>
        <a:ln w="127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593559</xdr:colOff>
      <xdr:row>15</xdr:row>
      <xdr:rowOff>80211</xdr:rowOff>
    </xdr:from>
    <xdr:to>
      <xdr:col>6</xdr:col>
      <xdr:colOff>457201</xdr:colOff>
      <xdr:row>16</xdr:row>
      <xdr:rowOff>136358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E5D5DE2-41E8-4690-89C2-C26244EC3B73}"/>
            </a:ext>
          </a:extLst>
        </xdr:cNvPr>
        <xdr:cNvSpPr txBox="1"/>
      </xdr:nvSpPr>
      <xdr:spPr>
        <a:xfrm>
          <a:off x="3641559" y="2847474"/>
          <a:ext cx="473242" cy="240631"/>
        </a:xfrm>
        <a:prstGeom prst="rect">
          <a:avLst/>
        </a:prstGeom>
        <a:solidFill>
          <a:schemeClr val="lt1"/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0°C</a:t>
          </a:r>
        </a:p>
      </xdr:txBody>
    </xdr:sp>
    <xdr:clientData/>
  </xdr:twoCellAnchor>
  <xdr:twoCellAnchor>
    <xdr:from>
      <xdr:col>2</xdr:col>
      <xdr:colOff>348916</xdr:colOff>
      <xdr:row>13</xdr:row>
      <xdr:rowOff>112294</xdr:rowOff>
    </xdr:from>
    <xdr:to>
      <xdr:col>2</xdr:col>
      <xdr:colOff>348916</xdr:colOff>
      <xdr:row>15</xdr:row>
      <xdr:rowOff>92242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CEB68FC8-1A49-4A52-AD11-C361B03A42FC}"/>
            </a:ext>
          </a:extLst>
        </xdr:cNvPr>
        <xdr:cNvCxnSpPr>
          <a:endCxn id="10" idx="19"/>
        </xdr:cNvCxnSpPr>
      </xdr:nvCxnSpPr>
      <xdr:spPr>
        <a:xfrm>
          <a:off x="1568116" y="2510589"/>
          <a:ext cx="0" cy="348916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368968</xdr:colOff>
      <xdr:row>17</xdr:row>
      <xdr:rowOff>168442</xdr:rowOff>
    </xdr:from>
    <xdr:to>
      <xdr:col>4</xdr:col>
      <xdr:colOff>397042</xdr:colOff>
      <xdr:row>17</xdr:row>
      <xdr:rowOff>180473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DBFDA1A6-34C6-4746-8249-8177C1A34FE5}"/>
            </a:ext>
          </a:extLst>
        </xdr:cNvPr>
        <xdr:cNvCxnSpPr/>
      </xdr:nvCxnSpPr>
      <xdr:spPr>
        <a:xfrm>
          <a:off x="1588168" y="3304674"/>
          <a:ext cx="1247274" cy="12031"/>
        </a:xfrm>
        <a:prstGeom prst="straightConnector1">
          <a:avLst/>
        </a:prstGeom>
        <a:ln>
          <a:solidFill>
            <a:srgbClr val="F810BB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6</xdr:col>
      <xdr:colOff>98777</xdr:colOff>
      <xdr:row>23</xdr:row>
      <xdr:rowOff>149125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6DBBCB-6B85-476B-BAD5-FA5D0E73C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4778"/>
          <a:ext cx="3852333" cy="1983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</xdr:rowOff>
    </xdr:from>
    <xdr:to>
      <xdr:col>6</xdr:col>
      <xdr:colOff>353595</xdr:colOff>
      <xdr:row>39</xdr:row>
      <xdr:rowOff>70557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894D1F-8D9E-45B0-9375-318F8F28E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02668"/>
          <a:ext cx="4107151" cy="2822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532695</xdr:colOff>
      <xdr:row>34</xdr:row>
      <xdr:rowOff>17639</xdr:rowOff>
    </xdr:from>
    <xdr:to>
      <xdr:col>2</xdr:col>
      <xdr:colOff>567973</xdr:colOff>
      <xdr:row>38</xdr:row>
      <xdr:rowOff>148167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3DE3102-666D-46F3-B5EC-CB6F608B6B75}"/>
            </a:ext>
          </a:extLst>
        </xdr:cNvPr>
        <xdr:cNvCxnSpPr/>
      </xdr:nvCxnSpPr>
      <xdr:spPr>
        <a:xfrm flipH="1" flipV="1">
          <a:off x="1845028" y="6254750"/>
          <a:ext cx="35278" cy="8643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536222</xdr:colOff>
      <xdr:row>34</xdr:row>
      <xdr:rowOff>28222</xdr:rowOff>
    </xdr:from>
    <xdr:to>
      <xdr:col>4</xdr:col>
      <xdr:colOff>7056</xdr:colOff>
      <xdr:row>34</xdr:row>
      <xdr:rowOff>28223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F0BEA49E-123D-41CE-B02A-DFEAC6C7F786}"/>
            </a:ext>
          </a:extLst>
        </xdr:cNvPr>
        <xdr:cNvCxnSpPr/>
      </xdr:nvCxnSpPr>
      <xdr:spPr>
        <a:xfrm flipH="1">
          <a:off x="1848555" y="6265333"/>
          <a:ext cx="691445" cy="1"/>
        </a:xfrm>
        <a:prstGeom prst="line">
          <a:avLst/>
        </a:prstGeom>
        <a:ln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491066</xdr:colOff>
      <xdr:row>37</xdr:row>
      <xdr:rowOff>7761</xdr:rowOff>
    </xdr:from>
    <xdr:to>
      <xdr:col>1</xdr:col>
      <xdr:colOff>480483</xdr:colOff>
      <xdr:row>37</xdr:row>
      <xdr:rowOff>7762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713E576-A544-431B-9132-1FCEB5E86076}"/>
            </a:ext>
          </a:extLst>
        </xdr:cNvPr>
        <xdr:cNvCxnSpPr/>
      </xdr:nvCxnSpPr>
      <xdr:spPr>
        <a:xfrm flipH="1">
          <a:off x="491066" y="6795205"/>
          <a:ext cx="691445" cy="1"/>
        </a:xfrm>
        <a:prstGeom prst="line">
          <a:avLst/>
        </a:prstGeom>
        <a:ln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45860</xdr:colOff>
      <xdr:row>41</xdr:row>
      <xdr:rowOff>77613</xdr:rowOff>
    </xdr:from>
    <xdr:to>
      <xdr:col>3</xdr:col>
      <xdr:colOff>564444</xdr:colOff>
      <xdr:row>47</xdr:row>
      <xdr:rowOff>141111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F7BF6D1C-BAB0-4F52-87C8-FD0C97E46842}"/>
            </a:ext>
          </a:extLst>
        </xdr:cNvPr>
        <xdr:cNvSpPr/>
      </xdr:nvSpPr>
      <xdr:spPr>
        <a:xfrm>
          <a:off x="1968499" y="7598835"/>
          <a:ext cx="518584" cy="11641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398639</xdr:colOff>
      <xdr:row>44</xdr:row>
      <xdr:rowOff>31749</xdr:rowOff>
    </xdr:from>
    <xdr:to>
      <xdr:col>4</xdr:col>
      <xdr:colOff>310445</xdr:colOff>
      <xdr:row>44</xdr:row>
      <xdr:rowOff>162277</xdr:rowOff>
    </xdr:to>
    <xdr:sp macro="" textlink="">
      <xdr:nvSpPr>
        <xdr:cNvPr id="16" name="Arrow: Right 15">
          <a:extLst>
            <a:ext uri="{FF2B5EF4-FFF2-40B4-BE49-F238E27FC236}">
              <a16:creationId xmlns:a16="http://schemas.microsoft.com/office/drawing/2014/main" id="{DA6C4CCF-1419-46BA-AE1B-C05D283DF617}"/>
            </a:ext>
          </a:extLst>
        </xdr:cNvPr>
        <xdr:cNvSpPr/>
      </xdr:nvSpPr>
      <xdr:spPr>
        <a:xfrm>
          <a:off x="1710972" y="8103305"/>
          <a:ext cx="1132417" cy="130528"/>
        </a:xfrm>
        <a:prstGeom prst="rightArrow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73187</xdr:colOff>
      <xdr:row>2</xdr:row>
      <xdr:rowOff>34441</xdr:rowOff>
    </xdr:from>
    <xdr:to>
      <xdr:col>2</xdr:col>
      <xdr:colOff>292746</xdr:colOff>
      <xdr:row>17</xdr:row>
      <xdr:rowOff>86102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C125A6B-A278-4030-8540-C3584E7D741B}"/>
            </a:ext>
          </a:extLst>
        </xdr:cNvPr>
        <xdr:cNvSpPr/>
      </xdr:nvSpPr>
      <xdr:spPr>
        <a:xfrm>
          <a:off x="1292387" y="400201"/>
          <a:ext cx="219559" cy="2794861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5</xdr:col>
      <xdr:colOff>314272</xdr:colOff>
      <xdr:row>12</xdr:row>
      <xdr:rowOff>111932</xdr:rowOff>
    </xdr:from>
    <xdr:to>
      <xdr:col>6</xdr:col>
      <xdr:colOff>437554</xdr:colOff>
      <xdr:row>14</xdr:row>
      <xdr:rowOff>116097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43768D-46D2-45CB-98BB-9860E5708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5152" y="2306492"/>
          <a:ext cx="809082" cy="369925"/>
        </a:xfrm>
        <a:prstGeom prst="rect">
          <a:avLst/>
        </a:prstGeom>
      </xdr:spPr>
    </xdr:pic>
    <xdr:clientData/>
  </xdr:twoCellAnchor>
  <xdr:twoCellAnchor>
    <xdr:from>
      <xdr:col>5</xdr:col>
      <xdr:colOff>370238</xdr:colOff>
      <xdr:row>14</xdr:row>
      <xdr:rowOff>129153</xdr:rowOff>
    </xdr:from>
    <xdr:to>
      <xdr:col>6</xdr:col>
      <xdr:colOff>340102</xdr:colOff>
      <xdr:row>14</xdr:row>
      <xdr:rowOff>133458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F8491784-9CD1-4774-BEDB-CCE9B4A3FEFB}"/>
            </a:ext>
          </a:extLst>
        </xdr:cNvPr>
        <xdr:cNvCxnSpPr/>
      </xdr:nvCxnSpPr>
      <xdr:spPr>
        <a:xfrm>
          <a:off x="3601118" y="2689473"/>
          <a:ext cx="655664" cy="430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533831</xdr:colOff>
      <xdr:row>21</xdr:row>
      <xdr:rowOff>176508</xdr:rowOff>
    </xdr:from>
    <xdr:to>
      <xdr:col>3</xdr:col>
      <xdr:colOff>28570</xdr:colOff>
      <xdr:row>23</xdr:row>
      <xdr:rowOff>180673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FDB14D0-525A-445D-B841-24C0E7DAE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431" y="4016988"/>
          <a:ext cx="805379" cy="3699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21</xdr:row>
      <xdr:rowOff>176508</xdr:rowOff>
    </xdr:from>
    <xdr:to>
      <xdr:col>5</xdr:col>
      <xdr:colOff>196468</xdr:colOff>
      <xdr:row>23</xdr:row>
      <xdr:rowOff>180673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60A8A30-2933-441C-BB11-0815DC05F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1280" y="4016988"/>
          <a:ext cx="806068" cy="369925"/>
        </a:xfrm>
        <a:prstGeom prst="rect">
          <a:avLst/>
        </a:prstGeom>
      </xdr:spPr>
    </xdr:pic>
    <xdr:clientData/>
  </xdr:twoCellAnchor>
  <xdr:twoCellAnchor editAs="oneCell">
    <xdr:from>
      <xdr:col>0</xdr:col>
      <xdr:colOff>413289</xdr:colOff>
      <xdr:row>21</xdr:row>
      <xdr:rowOff>176508</xdr:rowOff>
    </xdr:from>
    <xdr:to>
      <xdr:col>2</xdr:col>
      <xdr:colOff>157</xdr:colOff>
      <xdr:row>23</xdr:row>
      <xdr:rowOff>180673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519D78C-5205-4FD8-84E1-AFBE97C53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289" y="4016988"/>
          <a:ext cx="806068" cy="369925"/>
        </a:xfrm>
        <a:prstGeom prst="rect">
          <a:avLst/>
        </a:prstGeom>
      </xdr:spPr>
    </xdr:pic>
    <xdr:clientData/>
  </xdr:twoCellAnchor>
  <xdr:twoCellAnchor>
    <xdr:from>
      <xdr:col>2</xdr:col>
      <xdr:colOff>34440</xdr:colOff>
      <xdr:row>6</xdr:row>
      <xdr:rowOff>43051</xdr:rowOff>
    </xdr:from>
    <xdr:to>
      <xdr:col>2</xdr:col>
      <xdr:colOff>133457</xdr:colOff>
      <xdr:row>6</xdr:row>
      <xdr:rowOff>137763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8392B8CA-FAFD-44E4-B004-3DCA06202234}"/>
            </a:ext>
          </a:extLst>
        </xdr:cNvPr>
        <xdr:cNvSpPr/>
      </xdr:nvSpPr>
      <xdr:spPr>
        <a:xfrm>
          <a:off x="1253640" y="1140331"/>
          <a:ext cx="99017" cy="94712"/>
        </a:xfrm>
        <a:prstGeom prst="ellipse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340101</xdr:colOff>
      <xdr:row>22</xdr:row>
      <xdr:rowOff>120543</xdr:rowOff>
    </xdr:from>
    <xdr:to>
      <xdr:col>0</xdr:col>
      <xdr:colOff>439118</xdr:colOff>
      <xdr:row>23</xdr:row>
      <xdr:rowOff>34441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B8C1A46C-5692-4092-9AEF-D39C6BCAEE35}"/>
            </a:ext>
          </a:extLst>
        </xdr:cNvPr>
        <xdr:cNvSpPr/>
      </xdr:nvSpPr>
      <xdr:spPr>
        <a:xfrm>
          <a:off x="340101" y="4143903"/>
          <a:ext cx="99017" cy="96778"/>
        </a:xfrm>
        <a:prstGeom prst="ellipse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544162</xdr:colOff>
      <xdr:row>22</xdr:row>
      <xdr:rowOff>117960</xdr:rowOff>
    </xdr:from>
    <xdr:to>
      <xdr:col>2</xdr:col>
      <xdr:colOff>31857</xdr:colOff>
      <xdr:row>23</xdr:row>
      <xdr:rowOff>31858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9928B876-1C91-4457-B51F-8DD97525BD52}"/>
            </a:ext>
          </a:extLst>
        </xdr:cNvPr>
        <xdr:cNvSpPr/>
      </xdr:nvSpPr>
      <xdr:spPr>
        <a:xfrm>
          <a:off x="1153762" y="4141320"/>
          <a:ext cx="97295" cy="96778"/>
        </a:xfrm>
        <a:prstGeom prst="ellipse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576880</xdr:colOff>
      <xdr:row>40</xdr:row>
      <xdr:rowOff>68881</xdr:rowOff>
    </xdr:from>
    <xdr:to>
      <xdr:col>10</xdr:col>
      <xdr:colOff>30135</xdr:colOff>
      <xdr:row>55</xdr:row>
      <xdr:rowOff>163593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8FCC808-5F10-4DED-A771-512E2016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302216</xdr:colOff>
      <xdr:row>2</xdr:row>
      <xdr:rowOff>29964</xdr:rowOff>
    </xdr:from>
    <xdr:to>
      <xdr:col>3</xdr:col>
      <xdr:colOff>331490</xdr:colOff>
      <xdr:row>17</xdr:row>
      <xdr:rowOff>81625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14AA7E70-76A0-4E0D-85CD-D1D3BF18A422}"/>
            </a:ext>
          </a:extLst>
        </xdr:cNvPr>
        <xdr:cNvSpPr/>
      </xdr:nvSpPr>
      <xdr:spPr>
        <a:xfrm>
          <a:off x="1521416" y="395724"/>
          <a:ext cx="730314" cy="279486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346129</xdr:colOff>
      <xdr:row>2</xdr:row>
      <xdr:rowOff>31858</xdr:rowOff>
    </xdr:from>
    <xdr:to>
      <xdr:col>3</xdr:col>
      <xdr:colOff>697424</xdr:colOff>
      <xdr:row>17</xdr:row>
      <xdr:rowOff>83519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44782210-A088-46AE-9718-04A95BCE73CE}"/>
            </a:ext>
          </a:extLst>
        </xdr:cNvPr>
        <xdr:cNvSpPr/>
      </xdr:nvSpPr>
      <xdr:spPr>
        <a:xfrm>
          <a:off x="2266369" y="397618"/>
          <a:ext cx="351295" cy="2794861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404678</xdr:colOff>
      <xdr:row>9</xdr:row>
      <xdr:rowOff>120542</xdr:rowOff>
    </xdr:from>
    <xdr:to>
      <xdr:col>4</xdr:col>
      <xdr:colOff>327186</xdr:colOff>
      <xdr:row>11</xdr:row>
      <xdr:rowOff>55966</xdr:rowOff>
    </xdr:to>
    <xdr:sp macro="" textlink="">
      <xdr:nvSpPr>
        <xdr:cNvPr id="14" name="Arrow: Right 13">
          <a:extLst>
            <a:ext uri="{FF2B5EF4-FFF2-40B4-BE49-F238E27FC236}">
              <a16:creationId xmlns:a16="http://schemas.microsoft.com/office/drawing/2014/main" id="{39D2D9E0-2F7F-4C39-A3F3-EDE8AB9062DC}"/>
            </a:ext>
          </a:extLst>
        </xdr:cNvPr>
        <xdr:cNvSpPr/>
      </xdr:nvSpPr>
      <xdr:spPr>
        <a:xfrm>
          <a:off x="1014278" y="1766462"/>
          <a:ext cx="1934188" cy="301184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247111</xdr:colOff>
      <xdr:row>6</xdr:row>
      <xdr:rowOff>44772</xdr:rowOff>
    </xdr:from>
    <xdr:to>
      <xdr:col>2</xdr:col>
      <xdr:colOff>346128</xdr:colOff>
      <xdr:row>6</xdr:row>
      <xdr:rowOff>139484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66F6760D-B45C-4F36-A3FE-4F5852415891}"/>
            </a:ext>
          </a:extLst>
        </xdr:cNvPr>
        <xdr:cNvSpPr/>
      </xdr:nvSpPr>
      <xdr:spPr>
        <a:xfrm>
          <a:off x="1466311" y="1142052"/>
          <a:ext cx="99017" cy="94712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287579</xdr:colOff>
      <xdr:row>6</xdr:row>
      <xdr:rowOff>46494</xdr:rowOff>
    </xdr:from>
    <xdr:to>
      <xdr:col>3</xdr:col>
      <xdr:colOff>386596</xdr:colOff>
      <xdr:row>6</xdr:row>
      <xdr:rowOff>141206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486B5D6B-68F6-4B31-AE16-386258114C04}"/>
            </a:ext>
          </a:extLst>
        </xdr:cNvPr>
        <xdr:cNvSpPr/>
      </xdr:nvSpPr>
      <xdr:spPr>
        <a:xfrm>
          <a:off x="2207819" y="1143774"/>
          <a:ext cx="99017" cy="94712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642318</xdr:colOff>
      <xdr:row>6</xdr:row>
      <xdr:rowOff>43051</xdr:rowOff>
    </xdr:from>
    <xdr:to>
      <xdr:col>4</xdr:col>
      <xdr:colOff>30135</xdr:colOff>
      <xdr:row>6</xdr:row>
      <xdr:rowOff>151538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A7308171-0EF5-4104-B5EF-781A358BA5D3}"/>
            </a:ext>
          </a:extLst>
        </xdr:cNvPr>
        <xdr:cNvSpPr/>
      </xdr:nvSpPr>
      <xdr:spPr>
        <a:xfrm>
          <a:off x="2562558" y="1140331"/>
          <a:ext cx="88857" cy="108487"/>
        </a:xfrm>
        <a:prstGeom prst="ellipse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2</xdr:col>
      <xdr:colOff>693291</xdr:colOff>
      <xdr:row>21</xdr:row>
      <xdr:rowOff>177196</xdr:rowOff>
    </xdr:from>
    <xdr:to>
      <xdr:col>4</xdr:col>
      <xdr:colOff>97623</xdr:colOff>
      <xdr:row>24</xdr:row>
      <xdr:rowOff>548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A06EF179-8B4F-41BC-BC96-97A6E2073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2491" y="4017676"/>
          <a:ext cx="806412" cy="371992"/>
        </a:xfrm>
        <a:prstGeom prst="rect">
          <a:avLst/>
        </a:prstGeom>
      </xdr:spPr>
    </xdr:pic>
    <xdr:clientData/>
  </xdr:twoCellAnchor>
  <xdr:twoCellAnchor editAs="oneCell">
    <xdr:from>
      <xdr:col>5</xdr:col>
      <xdr:colOff>116238</xdr:colOff>
      <xdr:row>21</xdr:row>
      <xdr:rowOff>176508</xdr:rowOff>
    </xdr:from>
    <xdr:to>
      <xdr:col>6</xdr:col>
      <xdr:colOff>239520</xdr:colOff>
      <xdr:row>23</xdr:row>
      <xdr:rowOff>180673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18D59C97-8F94-4546-9D39-F505ECDF2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7118" y="4016988"/>
          <a:ext cx="809082" cy="369925"/>
        </a:xfrm>
        <a:prstGeom prst="rect">
          <a:avLst/>
        </a:prstGeom>
      </xdr:spPr>
    </xdr:pic>
    <xdr:clientData/>
  </xdr:twoCellAnchor>
  <xdr:twoCellAnchor>
    <xdr:from>
      <xdr:col>2</xdr:col>
      <xdr:colOff>668149</xdr:colOff>
      <xdr:row>22</xdr:row>
      <xdr:rowOff>117098</xdr:rowOff>
    </xdr:from>
    <xdr:to>
      <xdr:col>3</xdr:col>
      <xdr:colOff>65437</xdr:colOff>
      <xdr:row>23</xdr:row>
      <xdr:rowOff>30996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2F28AE4A-1CA0-4F40-873C-BBD2D0D6D3BF}"/>
            </a:ext>
          </a:extLst>
        </xdr:cNvPr>
        <xdr:cNvSpPr/>
      </xdr:nvSpPr>
      <xdr:spPr>
        <a:xfrm>
          <a:off x="1887349" y="4140458"/>
          <a:ext cx="98328" cy="96778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700006</xdr:colOff>
      <xdr:row>22</xdr:row>
      <xdr:rowOff>114515</xdr:rowOff>
    </xdr:from>
    <xdr:to>
      <xdr:col>4</xdr:col>
      <xdr:colOff>97294</xdr:colOff>
      <xdr:row>23</xdr:row>
      <xdr:rowOff>28413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536314F9-AF6D-438E-8A60-EFCC433F2B5D}"/>
            </a:ext>
          </a:extLst>
        </xdr:cNvPr>
        <xdr:cNvSpPr/>
      </xdr:nvSpPr>
      <xdr:spPr>
        <a:xfrm>
          <a:off x="2620246" y="4137875"/>
          <a:ext cx="98328" cy="96778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120541</xdr:colOff>
      <xdr:row>22</xdr:row>
      <xdr:rowOff>111932</xdr:rowOff>
    </xdr:from>
    <xdr:to>
      <xdr:col>5</xdr:col>
      <xdr:colOff>219558</xdr:colOff>
      <xdr:row>23</xdr:row>
      <xdr:rowOff>25830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954296D7-0506-4184-A219-C36289E88107}"/>
            </a:ext>
          </a:extLst>
        </xdr:cNvPr>
        <xdr:cNvSpPr/>
      </xdr:nvSpPr>
      <xdr:spPr>
        <a:xfrm>
          <a:off x="3351421" y="4135292"/>
          <a:ext cx="99017" cy="96778"/>
        </a:xfrm>
        <a:prstGeom prst="ellipse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182535</xdr:colOff>
      <xdr:row>22</xdr:row>
      <xdr:rowOff>117959</xdr:rowOff>
    </xdr:from>
    <xdr:to>
      <xdr:col>6</xdr:col>
      <xdr:colOff>281552</xdr:colOff>
      <xdr:row>23</xdr:row>
      <xdr:rowOff>31857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31D95860-17EA-44CE-8326-64FDFB319E07}"/>
            </a:ext>
          </a:extLst>
        </xdr:cNvPr>
        <xdr:cNvSpPr/>
      </xdr:nvSpPr>
      <xdr:spPr>
        <a:xfrm>
          <a:off x="4099215" y="4141319"/>
          <a:ext cx="99017" cy="96778"/>
        </a:xfrm>
        <a:prstGeom prst="ellipse">
          <a:avLst/>
        </a:prstGeom>
        <a:solidFill>
          <a:srgbClr val="FFC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417593</xdr:colOff>
      <xdr:row>23</xdr:row>
      <xdr:rowOff>73186</xdr:rowOff>
    </xdr:from>
    <xdr:to>
      <xdr:col>2</xdr:col>
      <xdr:colOff>266915</xdr:colOff>
      <xdr:row>24</xdr:row>
      <xdr:rowOff>81797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DF29778-327C-4BE5-B5CF-246E45B9B30D}"/>
            </a:ext>
          </a:extLst>
        </xdr:cNvPr>
        <xdr:cNvSpPr txBox="1"/>
      </xdr:nvSpPr>
      <xdr:spPr>
        <a:xfrm>
          <a:off x="1028915" y="4231898"/>
          <a:ext cx="460644" cy="18942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Twin</a:t>
          </a:r>
        </a:p>
      </xdr:txBody>
    </xdr:sp>
    <xdr:clientData/>
  </xdr:twoCellAnchor>
  <xdr:twoCellAnchor>
    <xdr:from>
      <xdr:col>2</xdr:col>
      <xdr:colOff>574297</xdr:colOff>
      <xdr:row>23</xdr:row>
      <xdr:rowOff>53383</xdr:rowOff>
    </xdr:from>
    <xdr:to>
      <xdr:col>3</xdr:col>
      <xdr:colOff>333212</xdr:colOff>
      <xdr:row>24</xdr:row>
      <xdr:rowOff>61994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A4A5A03-F940-4BBD-8E5B-077ED769D267}"/>
            </a:ext>
          </a:extLst>
        </xdr:cNvPr>
        <xdr:cNvSpPr txBox="1"/>
      </xdr:nvSpPr>
      <xdr:spPr>
        <a:xfrm>
          <a:off x="1796941" y="4212095"/>
          <a:ext cx="460644" cy="18942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T2</a:t>
          </a:r>
        </a:p>
      </xdr:txBody>
    </xdr:sp>
    <xdr:clientData/>
  </xdr:twoCellAnchor>
  <xdr:twoCellAnchor>
    <xdr:from>
      <xdr:col>3</xdr:col>
      <xdr:colOff>619070</xdr:colOff>
      <xdr:row>23</xdr:row>
      <xdr:rowOff>42189</xdr:rowOff>
    </xdr:from>
    <xdr:to>
      <xdr:col>4</xdr:col>
      <xdr:colOff>377985</xdr:colOff>
      <xdr:row>24</xdr:row>
      <xdr:rowOff>50800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F29C57F0-BF30-4EA6-8481-3FCC80891587}"/>
            </a:ext>
          </a:extLst>
        </xdr:cNvPr>
        <xdr:cNvSpPr txBox="1"/>
      </xdr:nvSpPr>
      <xdr:spPr>
        <a:xfrm>
          <a:off x="2543443" y="4200901"/>
          <a:ext cx="460644" cy="18942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T3</a:t>
          </a:r>
        </a:p>
      </xdr:txBody>
    </xdr:sp>
    <xdr:clientData/>
  </xdr:twoCellAnchor>
  <xdr:twoCellAnchor>
    <xdr:from>
      <xdr:col>5</xdr:col>
      <xdr:colOff>0</xdr:colOff>
      <xdr:row>23</xdr:row>
      <xdr:rowOff>51661</xdr:rowOff>
    </xdr:from>
    <xdr:to>
      <xdr:col>5</xdr:col>
      <xdr:colOff>460644</xdr:colOff>
      <xdr:row>24</xdr:row>
      <xdr:rowOff>60272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50BC1494-5068-4C55-A344-A2CBFE3166BB}"/>
            </a:ext>
          </a:extLst>
        </xdr:cNvPr>
        <xdr:cNvSpPr txBox="1"/>
      </xdr:nvSpPr>
      <xdr:spPr>
        <a:xfrm>
          <a:off x="3237424" y="4210373"/>
          <a:ext cx="460644" cy="18942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Twout</a:t>
          </a:r>
        </a:p>
      </xdr:txBody>
    </xdr:sp>
    <xdr:clientData/>
  </xdr:twoCellAnchor>
  <xdr:twoCellAnchor>
    <xdr:from>
      <xdr:col>6</xdr:col>
      <xdr:colOff>133459</xdr:colOff>
      <xdr:row>23</xdr:row>
      <xdr:rowOff>47356</xdr:rowOff>
    </xdr:from>
    <xdr:to>
      <xdr:col>6</xdr:col>
      <xdr:colOff>594103</xdr:colOff>
      <xdr:row>24</xdr:row>
      <xdr:rowOff>55967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2180EC45-ADF5-4A50-964A-C3CEB4875C1F}"/>
            </a:ext>
          </a:extLst>
        </xdr:cNvPr>
        <xdr:cNvSpPr txBox="1"/>
      </xdr:nvSpPr>
      <xdr:spPr>
        <a:xfrm>
          <a:off x="4055391" y="4206068"/>
          <a:ext cx="460644" cy="18942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Tout</a:t>
          </a:r>
        </a:p>
      </xdr:txBody>
    </xdr:sp>
    <xdr:clientData/>
  </xdr:twoCellAnchor>
  <xdr:twoCellAnchor>
    <xdr:from>
      <xdr:col>0</xdr:col>
      <xdr:colOff>249694</xdr:colOff>
      <xdr:row>23</xdr:row>
      <xdr:rowOff>38745</xdr:rowOff>
    </xdr:from>
    <xdr:to>
      <xdr:col>1</xdr:col>
      <xdr:colOff>99016</xdr:colOff>
      <xdr:row>24</xdr:row>
      <xdr:rowOff>47356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3A1F4A41-13AD-4AFF-BFC8-124B08262B41}"/>
            </a:ext>
          </a:extLst>
        </xdr:cNvPr>
        <xdr:cNvSpPr txBox="1"/>
      </xdr:nvSpPr>
      <xdr:spPr>
        <a:xfrm>
          <a:off x="249694" y="4197457"/>
          <a:ext cx="460644" cy="18942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Tin</a:t>
          </a:r>
        </a:p>
      </xdr:txBody>
    </xdr:sp>
    <xdr:clientData/>
  </xdr:twoCellAnchor>
  <xdr:twoCellAnchor editAs="oneCell">
    <xdr:from>
      <xdr:col>8</xdr:col>
      <xdr:colOff>383152</xdr:colOff>
      <xdr:row>12</xdr:row>
      <xdr:rowOff>99016</xdr:rowOff>
    </xdr:from>
    <xdr:to>
      <xdr:col>9</xdr:col>
      <xdr:colOff>579620</xdr:colOff>
      <xdr:row>14</xdr:row>
      <xdr:rowOff>103181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CD762D99-E76D-424B-8733-FE5756DC2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7728" y="2268779"/>
          <a:ext cx="807790" cy="365792"/>
        </a:xfrm>
        <a:prstGeom prst="rect">
          <a:avLst/>
        </a:prstGeom>
      </xdr:spPr>
    </xdr:pic>
    <xdr:clientData/>
  </xdr:twoCellAnchor>
  <xdr:twoCellAnchor>
    <xdr:from>
      <xdr:col>8</xdr:col>
      <xdr:colOff>460644</xdr:colOff>
      <xdr:row>14</xdr:row>
      <xdr:rowOff>111932</xdr:rowOff>
    </xdr:from>
    <xdr:to>
      <xdr:col>9</xdr:col>
      <xdr:colOff>503694</xdr:colOff>
      <xdr:row>14</xdr:row>
      <xdr:rowOff>116237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91AE4035-7989-4652-982F-E21CF04E2FC1}"/>
            </a:ext>
          </a:extLst>
        </xdr:cNvPr>
        <xdr:cNvCxnSpPr/>
      </xdr:nvCxnSpPr>
      <xdr:spPr>
        <a:xfrm>
          <a:off x="5605220" y="2643322"/>
          <a:ext cx="654372" cy="430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114084</xdr:colOff>
      <xdr:row>40</xdr:row>
      <xdr:rowOff>68451</xdr:rowOff>
    </xdr:from>
    <xdr:to>
      <xdr:col>17</xdr:col>
      <xdr:colOff>195880</xdr:colOff>
      <xdr:row>55</xdr:row>
      <xdr:rowOff>99447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E83EB5B9-D696-4066-8A82-8E454C93F4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0.4663</cdr:x>
      <cdr:y>0.16871</cdr:y>
    </cdr:from>
    <cdr:to>
      <cdr:x>0.54696</cdr:x>
      <cdr:y>0.79448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7300814-4FC0-480A-B008-CD5EEFE0BEDE}"/>
            </a:ext>
          </a:extLst>
        </cdr:cNvPr>
        <cdr:cNvSpPr/>
      </cdr:nvSpPr>
      <cdr:spPr>
        <a:xfrm xmlns:a="http://schemas.openxmlformats.org/drawingml/2006/main">
          <a:off x="1816747" y="473560"/>
          <a:ext cx="314271" cy="1756475"/>
        </a:xfrm>
        <a:prstGeom xmlns:a="http://schemas.openxmlformats.org/drawingml/2006/main" prst="rect">
          <a:avLst/>
        </a:prstGeom>
        <a:solidFill xmlns:a="http://schemas.openxmlformats.org/drawingml/2006/main">
          <a:srgbClr val="4472C4">
            <a:alpha val="38824"/>
          </a:srgb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rina/Corsi/FTAC/2022/Lessons/Lesson-1/Lesson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ilding Energy Loss"/>
      <sheetName val="Envelope loss Single layer"/>
      <sheetName val="Envelope loss multipl layers"/>
      <sheetName val="Air loss"/>
    </sheetNames>
    <sheetDataSet>
      <sheetData sheetId="0"/>
      <sheetData sheetId="1">
        <row r="2">
          <cell r="F2">
            <v>0.25</v>
          </cell>
        </row>
        <row r="3">
          <cell r="F3">
            <v>0</v>
          </cell>
        </row>
        <row r="4">
          <cell r="B4">
            <v>20</v>
          </cell>
        </row>
        <row r="5">
          <cell r="F5">
            <v>30</v>
          </cell>
        </row>
        <row r="10">
          <cell r="G10">
            <v>1411.7647058823529</v>
          </cell>
        </row>
        <row r="23">
          <cell r="B23">
            <v>8</v>
          </cell>
        </row>
        <row r="24">
          <cell r="B24">
            <v>1</v>
          </cell>
        </row>
        <row r="25">
          <cell r="B25">
            <v>20</v>
          </cell>
        </row>
        <row r="26">
          <cell r="G26">
            <v>1.4166666666666668E-2</v>
          </cell>
        </row>
        <row r="29">
          <cell r="E29">
            <v>14.117647058823529</v>
          </cell>
        </row>
        <row r="31">
          <cell r="E31">
            <v>2.3529411764705888</v>
          </cell>
        </row>
      </sheetData>
      <sheetData sheetId="2">
        <row r="40">
          <cell r="A40">
            <v>0</v>
          </cell>
          <cell r="B40">
            <v>20</v>
          </cell>
        </row>
        <row r="41">
          <cell r="A41">
            <v>1</v>
          </cell>
          <cell r="B41">
            <v>19.435028248587571</v>
          </cell>
        </row>
        <row r="42">
          <cell r="A42">
            <v>1.25</v>
          </cell>
          <cell r="B42">
            <v>18.305084745762713</v>
          </cell>
        </row>
        <row r="43">
          <cell r="A43">
            <v>2.25</v>
          </cell>
          <cell r="B43">
            <v>0</v>
          </cell>
        </row>
      </sheetData>
      <sheetData sheetId="3">
        <row r="7">
          <cell r="H7">
            <v>100</v>
          </cell>
        </row>
        <row r="8">
          <cell r="H8">
            <v>1.3888888888888888E-2</v>
          </cell>
        </row>
        <row r="9">
          <cell r="H9">
            <v>1.2</v>
          </cell>
        </row>
        <row r="10">
          <cell r="I10">
            <v>1.6666666666666666E-2</v>
          </cell>
        </row>
        <row r="23">
          <cell r="D23">
            <v>333.33333333333337</v>
          </cell>
        </row>
        <row r="25">
          <cell r="F25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4F50C-CA73-4503-B47F-5941984D2EBB}">
  <dimension ref="A1:L22"/>
  <sheetViews>
    <sheetView topLeftCell="A7" zoomScale="150" zoomScaleNormal="150" workbookViewId="0">
      <selection activeCell="F14" sqref="F14"/>
    </sheetView>
  </sheetViews>
  <sheetFormatPr defaultRowHeight="14.4" x14ac:dyDescent="0.3"/>
  <sheetData>
    <row r="1" spans="1:12" x14ac:dyDescent="0.3">
      <c r="A1" s="5" t="s">
        <v>3</v>
      </c>
    </row>
    <row r="9" spans="1:12" x14ac:dyDescent="0.3">
      <c r="E9" t="s">
        <v>7</v>
      </c>
      <c r="K9">
        <v>4</v>
      </c>
      <c r="L9" t="s">
        <v>0</v>
      </c>
    </row>
    <row r="14" spans="1:12" x14ac:dyDescent="0.3">
      <c r="D14" t="s">
        <v>1</v>
      </c>
      <c r="F14">
        <v>4</v>
      </c>
      <c r="G14" t="s">
        <v>0</v>
      </c>
    </row>
    <row r="15" spans="1:12" x14ac:dyDescent="0.3">
      <c r="D15" t="s">
        <v>2</v>
      </c>
      <c r="F15" s="1">
        <v>4</v>
      </c>
    </row>
    <row r="16" spans="1:12" x14ac:dyDescent="0.3">
      <c r="A16" s="6"/>
      <c r="B16" s="7" t="s">
        <v>5</v>
      </c>
      <c r="E16" t="s">
        <v>4</v>
      </c>
      <c r="F16">
        <v>1</v>
      </c>
      <c r="G16" t="s">
        <v>0</v>
      </c>
    </row>
    <row r="18" spans="3:7" x14ac:dyDescent="0.3">
      <c r="E18" t="s">
        <v>8</v>
      </c>
    </row>
    <row r="19" spans="3:7" x14ac:dyDescent="0.3">
      <c r="E19" t="s">
        <v>9</v>
      </c>
      <c r="G19" s="4">
        <f>Q_1/E</f>
        <v>4</v>
      </c>
    </row>
    <row r="22" spans="3:7" x14ac:dyDescent="0.3">
      <c r="C22" s="2" t="s">
        <v>6</v>
      </c>
      <c r="D22">
        <v>3</v>
      </c>
      <c r="E22" t="s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2F749-8029-41E0-8E3A-DE40BDE96B2C}">
  <dimension ref="A1:J19"/>
  <sheetViews>
    <sheetView zoomScale="190" zoomScaleNormal="190" workbookViewId="0">
      <selection activeCell="A5" sqref="A5"/>
    </sheetView>
  </sheetViews>
  <sheetFormatPr defaultRowHeight="14.4" x14ac:dyDescent="0.3"/>
  <sheetData>
    <row r="1" spans="1:10" x14ac:dyDescent="0.3">
      <c r="A1" s="5" t="s">
        <v>10</v>
      </c>
      <c r="D1" t="s">
        <v>35</v>
      </c>
    </row>
    <row r="3" spans="1:10" x14ac:dyDescent="0.3">
      <c r="A3" t="s">
        <v>11</v>
      </c>
    </row>
    <row r="4" spans="1:10" x14ac:dyDescent="0.3">
      <c r="A4" t="s">
        <v>12</v>
      </c>
      <c r="C4">
        <v>80</v>
      </c>
      <c r="D4" t="s">
        <v>13</v>
      </c>
    </row>
    <row r="5" spans="1:10" x14ac:dyDescent="0.3">
      <c r="B5" t="s">
        <v>14</v>
      </c>
      <c r="C5">
        <v>100</v>
      </c>
      <c r="D5" t="s">
        <v>15</v>
      </c>
    </row>
    <row r="6" spans="1:10" x14ac:dyDescent="0.3">
      <c r="B6" t="s">
        <v>16</v>
      </c>
      <c r="C6">
        <f>C4*C5</f>
        <v>8000</v>
      </c>
      <c r="D6" t="s">
        <v>17</v>
      </c>
    </row>
    <row r="8" spans="1:10" x14ac:dyDescent="0.3">
      <c r="B8" t="s">
        <v>36</v>
      </c>
      <c r="G8" t="s">
        <v>22</v>
      </c>
    </row>
    <row r="9" spans="1:10" x14ac:dyDescent="0.3">
      <c r="B9" s="8" t="s">
        <v>19</v>
      </c>
      <c r="G9" s="9" t="s">
        <v>20</v>
      </c>
    </row>
    <row r="10" spans="1:10" x14ac:dyDescent="0.3">
      <c r="B10" t="s">
        <v>18</v>
      </c>
      <c r="G10" t="s">
        <v>21</v>
      </c>
    </row>
    <row r="11" spans="1:10" x14ac:dyDescent="0.3">
      <c r="B11" t="s">
        <v>23</v>
      </c>
      <c r="G11" s="13" t="s">
        <v>30</v>
      </c>
      <c r="H11">
        <v>2502</v>
      </c>
      <c r="I11" t="s">
        <v>33</v>
      </c>
      <c r="J11" t="s">
        <v>34</v>
      </c>
    </row>
    <row r="12" spans="1:10" x14ac:dyDescent="0.3">
      <c r="B12" t="s">
        <v>31</v>
      </c>
      <c r="G12" s="13" t="s">
        <v>32</v>
      </c>
    </row>
    <row r="13" spans="1:10" x14ac:dyDescent="0.3">
      <c r="A13" s="10" t="s">
        <v>25</v>
      </c>
    </row>
    <row r="14" spans="1:10" x14ac:dyDescent="0.3">
      <c r="A14" s="10" t="s">
        <v>26</v>
      </c>
      <c r="G14" t="s">
        <v>27</v>
      </c>
    </row>
    <row r="15" spans="1:10" x14ac:dyDescent="0.3">
      <c r="C15" t="s">
        <v>29</v>
      </c>
    </row>
    <row r="17" spans="1:7" x14ac:dyDescent="0.3">
      <c r="A17" s="11" t="s">
        <v>28</v>
      </c>
    </row>
    <row r="19" spans="1:7" x14ac:dyDescent="0.3">
      <c r="C19" s="12">
        <v>44849</v>
      </c>
      <c r="E19" s="12">
        <v>44666</v>
      </c>
      <c r="G19" t="s">
        <v>24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70E93-2DBE-4498-9C2C-754BD7605E45}">
  <dimension ref="A1:I52"/>
  <sheetViews>
    <sheetView topLeftCell="A42" zoomScale="216" zoomScaleNormal="216" workbookViewId="0">
      <selection activeCell="A53" sqref="A53"/>
    </sheetView>
  </sheetViews>
  <sheetFormatPr defaultRowHeight="14.4" x14ac:dyDescent="0.3"/>
  <cols>
    <col min="1" max="1" width="10.21875" customWidth="1"/>
    <col min="7" max="7" width="11.21875" customWidth="1"/>
  </cols>
  <sheetData>
    <row r="1" spans="1:6" x14ac:dyDescent="0.3">
      <c r="A1" t="s">
        <v>37</v>
      </c>
    </row>
    <row r="3" spans="1:6" x14ac:dyDescent="0.3">
      <c r="A3" t="s">
        <v>38</v>
      </c>
    </row>
    <row r="4" spans="1:6" x14ac:dyDescent="0.3">
      <c r="A4" t="s">
        <v>39</v>
      </c>
      <c r="B4">
        <v>1000</v>
      </c>
      <c r="C4" t="s">
        <v>40</v>
      </c>
    </row>
    <row r="5" spans="1:6" x14ac:dyDescent="0.3">
      <c r="A5" t="s">
        <v>41</v>
      </c>
      <c r="B5">
        <v>100000</v>
      </c>
      <c r="C5" t="s">
        <v>40</v>
      </c>
      <c r="D5" t="s">
        <v>42</v>
      </c>
    </row>
    <row r="6" spans="1:6" x14ac:dyDescent="0.3">
      <c r="A6" t="s">
        <v>43</v>
      </c>
      <c r="B6">
        <v>2338.8000000000002</v>
      </c>
      <c r="C6" t="s">
        <v>40</v>
      </c>
      <c r="D6" t="s">
        <v>45</v>
      </c>
    </row>
    <row r="7" spans="1:6" x14ac:dyDescent="0.3">
      <c r="A7" t="s">
        <v>44</v>
      </c>
      <c r="C7" s="14">
        <f>B4/B6</f>
        <v>0.42756969386009919</v>
      </c>
    </row>
    <row r="9" spans="1:6" x14ac:dyDescent="0.3">
      <c r="A9" t="s">
        <v>46</v>
      </c>
    </row>
    <row r="10" spans="1:6" x14ac:dyDescent="0.3">
      <c r="A10" t="s">
        <v>47</v>
      </c>
      <c r="B10">
        <v>0.01</v>
      </c>
      <c r="C10" t="s">
        <v>48</v>
      </c>
    </row>
    <row r="11" spans="1:6" x14ac:dyDescent="0.3">
      <c r="A11" t="s">
        <v>49</v>
      </c>
      <c r="B11">
        <v>1</v>
      </c>
      <c r="C11" t="s">
        <v>48</v>
      </c>
    </row>
    <row r="12" spans="1:6" x14ac:dyDescent="0.3">
      <c r="A12" t="s">
        <v>52</v>
      </c>
      <c r="C12">
        <f>B10/B11</f>
        <v>0.01</v>
      </c>
      <c r="D12" t="s">
        <v>50</v>
      </c>
      <c r="E12">
        <f>C12*1000</f>
        <v>10</v>
      </c>
      <c r="F12" t="s">
        <v>51</v>
      </c>
    </row>
    <row r="34" spans="1:9" x14ac:dyDescent="0.3">
      <c r="G34" s="10" t="s">
        <v>54</v>
      </c>
      <c r="H34">
        <v>20</v>
      </c>
      <c r="I34" t="s">
        <v>53</v>
      </c>
    </row>
    <row r="35" spans="1:9" x14ac:dyDescent="0.3">
      <c r="G35" s="10" t="s">
        <v>55</v>
      </c>
      <c r="H35">
        <v>10</v>
      </c>
      <c r="I35" t="s">
        <v>51</v>
      </c>
    </row>
    <row r="36" spans="1:9" x14ac:dyDescent="0.3">
      <c r="G36" s="10" t="s">
        <v>58</v>
      </c>
      <c r="H36" s="1">
        <v>0.6</v>
      </c>
    </row>
    <row r="37" spans="1:9" x14ac:dyDescent="0.3">
      <c r="G37" s="10" t="s">
        <v>56</v>
      </c>
      <c r="H37">
        <v>30</v>
      </c>
      <c r="I37" t="s">
        <v>53</v>
      </c>
    </row>
    <row r="38" spans="1:9" x14ac:dyDescent="0.3">
      <c r="G38" s="10" t="s">
        <v>57</v>
      </c>
      <c r="H38">
        <v>10</v>
      </c>
      <c r="I38" t="s">
        <v>51</v>
      </c>
    </row>
    <row r="39" spans="1:9" x14ac:dyDescent="0.3">
      <c r="G39" s="10" t="s">
        <v>59</v>
      </c>
      <c r="H39" s="1">
        <v>0.39</v>
      </c>
    </row>
    <row r="41" spans="1:9" x14ac:dyDescent="0.3">
      <c r="A41" t="s">
        <v>60</v>
      </c>
      <c r="E41" t="s">
        <v>63</v>
      </c>
      <c r="F41" s="9" t="s">
        <v>64</v>
      </c>
      <c r="H41" t="s">
        <v>68</v>
      </c>
    </row>
    <row r="42" spans="1:9" x14ac:dyDescent="0.3">
      <c r="E42" t="s">
        <v>72</v>
      </c>
    </row>
    <row r="44" spans="1:9" x14ac:dyDescent="0.3">
      <c r="A44" t="s">
        <v>61</v>
      </c>
      <c r="B44">
        <v>20</v>
      </c>
      <c r="C44" t="s">
        <v>53</v>
      </c>
      <c r="E44" t="s">
        <v>62</v>
      </c>
      <c r="F44">
        <v>0</v>
      </c>
      <c r="G44" t="s">
        <v>53</v>
      </c>
    </row>
    <row r="46" spans="1:9" x14ac:dyDescent="0.3">
      <c r="A46" t="s">
        <v>65</v>
      </c>
      <c r="B46">
        <v>1000</v>
      </c>
      <c r="C46" t="s">
        <v>40</v>
      </c>
      <c r="E46" t="s">
        <v>66</v>
      </c>
      <c r="F46">
        <v>600</v>
      </c>
      <c r="G46" t="s">
        <v>40</v>
      </c>
    </row>
    <row r="49" spans="1:8" x14ac:dyDescent="0.3">
      <c r="A49" t="s">
        <v>67</v>
      </c>
      <c r="E49" t="s">
        <v>69</v>
      </c>
      <c r="F49" s="9" t="s">
        <v>70</v>
      </c>
      <c r="H49" t="s">
        <v>71</v>
      </c>
    </row>
    <row r="50" spans="1:8" x14ac:dyDescent="0.3">
      <c r="E50" t="s">
        <v>73</v>
      </c>
    </row>
    <row r="52" spans="1:8" x14ac:dyDescent="0.3">
      <c r="A52" t="s">
        <v>74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BB8B9-D5ED-427D-B617-B0F6ABEA8059}">
  <dimension ref="A1:O46"/>
  <sheetViews>
    <sheetView tabSelected="1" zoomScale="177" zoomScaleNormal="177" workbookViewId="0"/>
  </sheetViews>
  <sheetFormatPr defaultRowHeight="14.4" x14ac:dyDescent="0.3"/>
  <cols>
    <col min="3" max="4" width="10.21875" customWidth="1"/>
    <col min="6" max="6" width="10" customWidth="1"/>
    <col min="14" max="14" width="12" bestFit="1" customWidth="1"/>
  </cols>
  <sheetData>
    <row r="1" spans="1:15" x14ac:dyDescent="0.3">
      <c r="A1" s="5" t="s">
        <v>75</v>
      </c>
      <c r="C1" s="5" t="s">
        <v>76</v>
      </c>
      <c r="D1" s="5"/>
      <c r="J1" t="s">
        <v>141</v>
      </c>
    </row>
    <row r="2" spans="1:15" x14ac:dyDescent="0.3">
      <c r="C2" t="s">
        <v>77</v>
      </c>
      <c r="F2" s="3" t="s">
        <v>78</v>
      </c>
      <c r="G2" s="3">
        <v>0.25</v>
      </c>
      <c r="H2" s="3" t="s">
        <v>79</v>
      </c>
    </row>
    <row r="3" spans="1:15" x14ac:dyDescent="0.3">
      <c r="F3" t="s">
        <v>80</v>
      </c>
      <c r="G3">
        <v>0</v>
      </c>
      <c r="J3" t="s">
        <v>138</v>
      </c>
      <c r="K3" s="1">
        <v>0.9</v>
      </c>
    </row>
    <row r="4" spans="1:15" x14ac:dyDescent="0.3">
      <c r="A4" t="s">
        <v>81</v>
      </c>
      <c r="B4">
        <v>20</v>
      </c>
      <c r="F4" t="s">
        <v>82</v>
      </c>
      <c r="H4" t="s">
        <v>83</v>
      </c>
      <c r="J4" t="s">
        <v>140</v>
      </c>
    </row>
    <row r="5" spans="1:15" x14ac:dyDescent="0.3">
      <c r="A5" t="s">
        <v>139</v>
      </c>
      <c r="B5" s="1">
        <v>0.6</v>
      </c>
      <c r="F5" t="s">
        <v>84</v>
      </c>
      <c r="G5">
        <v>30</v>
      </c>
      <c r="H5" t="s">
        <v>15</v>
      </c>
      <c r="J5">
        <v>2338.8000000000002</v>
      </c>
    </row>
    <row r="6" spans="1:15" x14ac:dyDescent="0.3">
      <c r="F6" t="s">
        <v>85</v>
      </c>
      <c r="G6">
        <v>0.02</v>
      </c>
      <c r="H6" t="s">
        <v>79</v>
      </c>
      <c r="J6" t="s">
        <v>167</v>
      </c>
      <c r="K6">
        <v>4</v>
      </c>
      <c r="L6" t="s">
        <v>171</v>
      </c>
      <c r="N6">
        <f>Dv0/K6</f>
        <v>1.6750000000000001E-6</v>
      </c>
      <c r="O6" t="s">
        <v>176</v>
      </c>
    </row>
    <row r="7" spans="1:15" x14ac:dyDescent="0.3">
      <c r="B7" s="10" t="s">
        <v>86</v>
      </c>
      <c r="E7" t="s">
        <v>87</v>
      </c>
      <c r="F7" t="s">
        <v>88</v>
      </c>
      <c r="G7">
        <v>0.25</v>
      </c>
      <c r="H7" t="s">
        <v>79</v>
      </c>
      <c r="J7" t="s">
        <v>168</v>
      </c>
      <c r="K7">
        <v>8</v>
      </c>
      <c r="L7" t="s">
        <v>172</v>
      </c>
      <c r="N7">
        <f>Dv0/K7</f>
        <v>8.3750000000000003E-7</v>
      </c>
      <c r="O7" t="s">
        <v>176</v>
      </c>
    </row>
    <row r="8" spans="1:15" x14ac:dyDescent="0.3">
      <c r="B8" s="10"/>
      <c r="F8" t="s">
        <v>89</v>
      </c>
      <c r="G8">
        <v>0.14000000000000001</v>
      </c>
      <c r="H8" t="s">
        <v>79</v>
      </c>
      <c r="J8" t="s">
        <v>169</v>
      </c>
      <c r="K8">
        <v>20</v>
      </c>
      <c r="L8" t="s">
        <v>173</v>
      </c>
      <c r="N8">
        <f>Dv0/K8</f>
        <v>3.3500000000000002E-7</v>
      </c>
      <c r="O8" t="s">
        <v>176</v>
      </c>
    </row>
    <row r="9" spans="1:15" x14ac:dyDescent="0.3">
      <c r="B9" s="10"/>
      <c r="J9" t="s">
        <v>170</v>
      </c>
      <c r="K9" s="15">
        <v>6.7000000000000002E-6</v>
      </c>
      <c r="L9" t="s">
        <v>176</v>
      </c>
    </row>
    <row r="10" spans="1:15" x14ac:dyDescent="0.3">
      <c r="F10" t="s">
        <v>90</v>
      </c>
    </row>
    <row r="11" spans="1:15" x14ac:dyDescent="0.3">
      <c r="B11" t="s">
        <v>91</v>
      </c>
      <c r="F11" t="s">
        <v>92</v>
      </c>
    </row>
    <row r="12" spans="1:15" x14ac:dyDescent="0.3">
      <c r="F12" t="s">
        <v>93</v>
      </c>
      <c r="H12" s="3">
        <f>(Tin-Tout)/Rtot</f>
        <v>135.59322033898303</v>
      </c>
      <c r="I12" t="s">
        <v>83</v>
      </c>
      <c r="J12" t="s">
        <v>174</v>
      </c>
      <c r="L12">
        <f>(I34-I39)/L32</f>
        <v>3.5142049180327872E-2</v>
      </c>
      <c r="M12" t="s">
        <v>175</v>
      </c>
    </row>
    <row r="13" spans="1:15" x14ac:dyDescent="0.3">
      <c r="B13" s="10" t="s">
        <v>94</v>
      </c>
      <c r="E13" t="s">
        <v>95</v>
      </c>
    </row>
    <row r="14" spans="1:15" x14ac:dyDescent="0.3">
      <c r="F14" t="s">
        <v>96</v>
      </c>
      <c r="H14" t="s">
        <v>97</v>
      </c>
      <c r="I14" t="s">
        <v>158</v>
      </c>
      <c r="K14" t="s">
        <v>159</v>
      </c>
    </row>
    <row r="16" spans="1:15" x14ac:dyDescent="0.3">
      <c r="G16" t="s">
        <v>98</v>
      </c>
      <c r="J16" t="s">
        <v>160</v>
      </c>
    </row>
    <row r="17" spans="1:12" x14ac:dyDescent="0.3">
      <c r="F17" t="s">
        <v>99</v>
      </c>
    </row>
    <row r="18" spans="1:12" x14ac:dyDescent="0.3">
      <c r="F18" t="s">
        <v>100</v>
      </c>
      <c r="K18" s="3">
        <f>1/(S*Rtot)</f>
        <v>0.22598870056497172</v>
      </c>
      <c r="L18" t="s">
        <v>101</v>
      </c>
    </row>
    <row r="19" spans="1:12" x14ac:dyDescent="0.3">
      <c r="F19" t="s">
        <v>102</v>
      </c>
    </row>
    <row r="21" spans="1:12" x14ac:dyDescent="0.3">
      <c r="C21" s="2" t="s">
        <v>103</v>
      </c>
      <c r="D21" s="2"/>
      <c r="E21" t="s">
        <v>104</v>
      </c>
      <c r="H21">
        <v>1</v>
      </c>
      <c r="I21" t="s">
        <v>105</v>
      </c>
    </row>
    <row r="22" spans="1:12" x14ac:dyDescent="0.3">
      <c r="A22" t="s">
        <v>106</v>
      </c>
      <c r="C22" t="s">
        <v>107</v>
      </c>
      <c r="E22" t="s">
        <v>108</v>
      </c>
    </row>
    <row r="25" spans="1:12" x14ac:dyDescent="0.3">
      <c r="B25" t="s">
        <v>109</v>
      </c>
      <c r="C25" s="2" t="s">
        <v>110</v>
      </c>
      <c r="D25" s="2" t="s">
        <v>111</v>
      </c>
      <c r="E25" s="2" t="s">
        <v>112</v>
      </c>
      <c r="F25" s="10" t="s">
        <v>113</v>
      </c>
    </row>
    <row r="26" spans="1:12" x14ac:dyDescent="0.3">
      <c r="A26" t="s">
        <v>114</v>
      </c>
    </row>
    <row r="27" spans="1:12" x14ac:dyDescent="0.3">
      <c r="A27" t="s">
        <v>115</v>
      </c>
      <c r="B27">
        <v>8</v>
      </c>
      <c r="C27" t="s">
        <v>101</v>
      </c>
      <c r="E27" t="s">
        <v>116</v>
      </c>
      <c r="F27" s="9" t="s">
        <v>117</v>
      </c>
      <c r="H27">
        <f>1/(S*hin)</f>
        <v>4.1666666666666666E-3</v>
      </c>
      <c r="I27" t="s">
        <v>118</v>
      </c>
      <c r="J27" t="s">
        <v>153</v>
      </c>
      <c r="L27">
        <v>0</v>
      </c>
    </row>
    <row r="28" spans="1:12" x14ac:dyDescent="0.3">
      <c r="A28" t="s">
        <v>119</v>
      </c>
      <c r="B28">
        <v>1</v>
      </c>
      <c r="C28" t="s">
        <v>105</v>
      </c>
      <c r="E28" t="s">
        <v>120</v>
      </c>
      <c r="F28" s="9" t="s">
        <v>121</v>
      </c>
      <c r="H28">
        <f>t/(S*lambda)</f>
        <v>8.3333333333333332E-3</v>
      </c>
      <c r="I28" t="s">
        <v>118</v>
      </c>
      <c r="J28" t="s">
        <v>156</v>
      </c>
      <c r="K28" s="9" t="s">
        <v>162</v>
      </c>
      <c r="L28">
        <f>t_1/(S*Dv_1)</f>
        <v>398.00995024875624</v>
      </c>
    </row>
    <row r="29" spans="1:12" x14ac:dyDescent="0.3">
      <c r="A29" t="s">
        <v>122</v>
      </c>
      <c r="B29">
        <v>0.5</v>
      </c>
      <c r="C29" t="s">
        <v>105</v>
      </c>
      <c r="E29" t="s">
        <v>123</v>
      </c>
      <c r="F29" s="9" t="s">
        <v>124</v>
      </c>
      <c r="H29">
        <f>t_2/(S*lambda_2)</f>
        <v>1.6666666666666666E-2</v>
      </c>
      <c r="I29" t="s">
        <v>118</v>
      </c>
      <c r="J29" t="s">
        <v>157</v>
      </c>
      <c r="K29" s="9" t="s">
        <v>164</v>
      </c>
      <c r="L29">
        <f>t_2/(S*Dv_2)</f>
        <v>9950.2487562189053</v>
      </c>
    </row>
    <row r="30" spans="1:12" x14ac:dyDescent="0.3">
      <c r="A30" t="s">
        <v>125</v>
      </c>
      <c r="B30">
        <v>0.04</v>
      </c>
      <c r="C30" t="s">
        <v>105</v>
      </c>
      <c r="E30" t="s">
        <v>126</v>
      </c>
      <c r="F30" s="9" t="s">
        <v>127</v>
      </c>
      <c r="H30">
        <f>t_3/(S*lambda_3)</f>
        <v>0.11666666666666668</v>
      </c>
      <c r="I30" t="s">
        <v>118</v>
      </c>
      <c r="J30" t="s">
        <v>161</v>
      </c>
      <c r="K30" s="9" t="s">
        <v>163</v>
      </c>
      <c r="L30">
        <f>t_3/(S*Dv_3)</f>
        <v>13930.348258706468</v>
      </c>
    </row>
    <row r="31" spans="1:12" x14ac:dyDescent="0.3">
      <c r="A31" t="s">
        <v>128</v>
      </c>
      <c r="B31">
        <v>20</v>
      </c>
      <c r="C31" t="s">
        <v>101</v>
      </c>
      <c r="E31" t="s">
        <v>129</v>
      </c>
      <c r="F31" s="9" t="s">
        <v>130</v>
      </c>
      <c r="H31">
        <f>1/(S*hout)</f>
        <v>1.6666666666666668E-3</v>
      </c>
      <c r="I31" t="s">
        <v>118</v>
      </c>
      <c r="J31" t="s">
        <v>154</v>
      </c>
      <c r="L31">
        <v>0</v>
      </c>
    </row>
    <row r="32" spans="1:12" x14ac:dyDescent="0.3">
      <c r="E32" t="s">
        <v>131</v>
      </c>
      <c r="F32" t="s">
        <v>132</v>
      </c>
      <c r="H32">
        <f>SUM(H27:H31)</f>
        <v>0.14750000000000002</v>
      </c>
      <c r="I32" t="s">
        <v>118</v>
      </c>
      <c r="J32" t="s">
        <v>155</v>
      </c>
      <c r="L32">
        <f>SUM(L27:L31)</f>
        <v>24278.606965174127</v>
      </c>
    </row>
    <row r="33" spans="1:11" x14ac:dyDescent="0.3">
      <c r="H33" t="s">
        <v>151</v>
      </c>
      <c r="I33" t="s">
        <v>152</v>
      </c>
    </row>
    <row r="34" spans="1:11" x14ac:dyDescent="0.3">
      <c r="E34" t="s">
        <v>61</v>
      </c>
      <c r="F34">
        <f>Tin</f>
        <v>20</v>
      </c>
      <c r="H34">
        <f>2338.8</f>
        <v>2338.8000000000002</v>
      </c>
      <c r="I34">
        <f>H34*B5</f>
        <v>1403.28</v>
      </c>
      <c r="K34" t="s">
        <v>165</v>
      </c>
    </row>
    <row r="35" spans="1:11" x14ac:dyDescent="0.3">
      <c r="A35" t="s">
        <v>133</v>
      </c>
      <c r="C35" t="s">
        <v>134</v>
      </c>
      <c r="E35" t="s">
        <v>142</v>
      </c>
      <c r="F35">
        <f>Tin-Q*H27</f>
        <v>19.435028248587571</v>
      </c>
      <c r="G35" t="s">
        <v>53</v>
      </c>
      <c r="H35">
        <v>2254.1999999999998</v>
      </c>
      <c r="I35">
        <f>I34</f>
        <v>1403.28</v>
      </c>
      <c r="K35" t="s">
        <v>166</v>
      </c>
    </row>
    <row r="36" spans="1:11" x14ac:dyDescent="0.3">
      <c r="A36" t="s">
        <v>143</v>
      </c>
      <c r="C36" t="s">
        <v>148</v>
      </c>
      <c r="E36" t="s">
        <v>56</v>
      </c>
      <c r="F36">
        <f>Twin-Q*H28</f>
        <v>18.305084745762713</v>
      </c>
      <c r="G36" t="s">
        <v>53</v>
      </c>
      <c r="H36">
        <v>2104.4</v>
      </c>
      <c r="I36">
        <f>I35-J*L28</f>
        <v>1389.2931147540983</v>
      </c>
    </row>
    <row r="37" spans="1:11" x14ac:dyDescent="0.3">
      <c r="A37" t="s">
        <v>144</v>
      </c>
      <c r="C37" t="s">
        <v>149</v>
      </c>
      <c r="E37" t="s">
        <v>145</v>
      </c>
      <c r="F37">
        <f>Twout-Q*H29</f>
        <v>16.045197740112997</v>
      </c>
      <c r="G37" t="s">
        <v>53</v>
      </c>
      <c r="H37" s="16">
        <v>1818.4</v>
      </c>
      <c r="I37" s="3">
        <f>I36-J*L29</f>
        <v>1039.6209836065573</v>
      </c>
    </row>
    <row r="38" spans="1:11" x14ac:dyDescent="0.3">
      <c r="A38" t="s">
        <v>147</v>
      </c>
      <c r="C38" t="s">
        <v>150</v>
      </c>
      <c r="E38" t="s">
        <v>146</v>
      </c>
      <c r="F38">
        <f>F37-Q*H30</f>
        <v>0.22598870056497411</v>
      </c>
      <c r="G38" t="s">
        <v>53</v>
      </c>
      <c r="H38">
        <v>620.4</v>
      </c>
      <c r="I38">
        <f>I39</f>
        <v>550.08000000000004</v>
      </c>
    </row>
    <row r="39" spans="1:11" x14ac:dyDescent="0.3">
      <c r="E39" t="s">
        <v>62</v>
      </c>
      <c r="F39">
        <f>Tout</f>
        <v>0</v>
      </c>
      <c r="G39" t="s">
        <v>53</v>
      </c>
      <c r="H39">
        <v>611.20000000000005</v>
      </c>
      <c r="I39">
        <f>H39*K3</f>
        <v>550.08000000000004</v>
      </c>
    </row>
    <row r="42" spans="1:11" x14ac:dyDescent="0.3">
      <c r="A42" t="s">
        <v>135</v>
      </c>
      <c r="B42" t="s">
        <v>25</v>
      </c>
    </row>
    <row r="43" spans="1:11" x14ac:dyDescent="0.3">
      <c r="A43">
        <v>0</v>
      </c>
      <c r="B43">
        <f>Tin</f>
        <v>20</v>
      </c>
      <c r="C43" t="s">
        <v>27</v>
      </c>
    </row>
    <row r="44" spans="1:11" x14ac:dyDescent="0.3">
      <c r="A44">
        <v>1</v>
      </c>
      <c r="B44">
        <f>Twin</f>
        <v>19.435028248587571</v>
      </c>
      <c r="C44" t="s">
        <v>86</v>
      </c>
    </row>
    <row r="45" spans="1:11" x14ac:dyDescent="0.3">
      <c r="A45">
        <f>A44+t</f>
        <v>1.25</v>
      </c>
      <c r="B45">
        <f>Twout</f>
        <v>18.305084745762713</v>
      </c>
      <c r="C45" t="s">
        <v>136</v>
      </c>
    </row>
    <row r="46" spans="1:11" x14ac:dyDescent="0.3">
      <c r="A46">
        <f>A45+1</f>
        <v>2.25</v>
      </c>
      <c r="B46">
        <f>Tout</f>
        <v>0</v>
      </c>
      <c r="C46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26</vt:i4>
      </vt:variant>
    </vt:vector>
  </HeadingPairs>
  <TitlesOfParts>
    <vt:vector size="30" baseType="lpstr">
      <vt:lpstr>Energy Supply</vt:lpstr>
      <vt:lpstr>Energey Efficiency Certificatio</vt:lpstr>
      <vt:lpstr>Humidity</vt:lpstr>
      <vt:lpstr>Envelope loss multipl layers</vt:lpstr>
      <vt:lpstr>Dv_1</vt:lpstr>
      <vt:lpstr>Dv_2</vt:lpstr>
      <vt:lpstr>Dv_3</vt:lpstr>
      <vt:lpstr>Dv0</vt:lpstr>
      <vt:lpstr>E</vt:lpstr>
      <vt:lpstr>'Envelope loss multipl layers'!hin</vt:lpstr>
      <vt:lpstr>'Envelope loss multipl layers'!hout</vt:lpstr>
      <vt:lpstr>J</vt:lpstr>
      <vt:lpstr>'Envelope loss multipl layers'!lambda</vt:lpstr>
      <vt:lpstr>lambda_1</vt:lpstr>
      <vt:lpstr>lambda_2</vt:lpstr>
      <vt:lpstr>lambda_3</vt:lpstr>
      <vt:lpstr>'Envelope loss multipl layers'!Q</vt:lpstr>
      <vt:lpstr>Q_1</vt:lpstr>
      <vt:lpstr>Q_2</vt:lpstr>
      <vt:lpstr>Qout</vt:lpstr>
      <vt:lpstr>'Envelope loss multipl layers'!Rtot</vt:lpstr>
      <vt:lpstr>'Envelope loss multipl layers'!S</vt:lpstr>
      <vt:lpstr>'Envelope loss multipl layers'!t</vt:lpstr>
      <vt:lpstr>t_1</vt:lpstr>
      <vt:lpstr>t_2</vt:lpstr>
      <vt:lpstr>t_3</vt:lpstr>
      <vt:lpstr>'Envelope loss multipl layers'!Tin</vt:lpstr>
      <vt:lpstr>'Envelope loss multipl layers'!Tout</vt:lpstr>
      <vt:lpstr>'Envelope loss multipl layers'!Twin</vt:lpstr>
      <vt:lpstr>'Envelope loss multipl layers'!Twout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2022-03-16T13:45:12Z</dcterms:created>
  <dcterms:modified xsi:type="dcterms:W3CDTF">2022-03-16T17:34:11Z</dcterms:modified>
</cp:coreProperties>
</file>