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Corsi\RCF-2016\"/>
    </mc:Choice>
  </mc:AlternateContent>
  <bookViews>
    <workbookView xWindow="1032" yWindow="0" windowWidth="13176" windowHeight="5364" activeTab="3"/>
  </bookViews>
  <sheets>
    <sheet name="Lightning" sheetId="1" r:id="rId1"/>
    <sheet name="SPL,SVL" sheetId="2" r:id="rId2"/>
    <sheet name="Spherical" sheetId="3" r:id="rId3"/>
    <sheet name="Cylindrical" sheetId="4" r:id="rId4"/>
  </sheets>
  <definedNames>
    <definedName name="A">Spherical!$C$19</definedName>
    <definedName name="cc">Lightning!$B$8</definedName>
    <definedName name="D">'SPL,SVL'!$B$28</definedName>
    <definedName name="Drif">'SPL,SVL'!$B$29</definedName>
    <definedName name="I">'SPL,SVL'!$B$24</definedName>
    <definedName name="Irif">'SPL,SVL'!$B$25</definedName>
    <definedName name="L">Cylindrical!$E$13</definedName>
    <definedName name="Lw">Spherical!$B$3</definedName>
    <definedName name="p">'SPL,SVL'!$F$11</definedName>
    <definedName name="prif">'SPL,SVL'!$F$12</definedName>
    <definedName name="pzero">'SPL,SVL'!$B$22</definedName>
    <definedName name="Q">Spherical!$E$9</definedName>
    <definedName name="rho">'SPL,SVL'!$B$21</definedName>
    <definedName name="rrr">Cylindrical!$E$12</definedName>
    <definedName name="S">Spherical!$C$5</definedName>
    <definedName name="SS">Cylindrical!$E$6</definedName>
    <definedName name="t">Lightning!$B$3</definedName>
    <definedName name="T_60">Spherical!$C$17</definedName>
    <definedName name="Tau">Lightning!$B$2</definedName>
    <definedName name="TT">Lightning!$B$4</definedName>
    <definedName name="v">'SPL,SVL'!$F$15</definedName>
    <definedName name="Vol">Spherical!$B$16</definedName>
    <definedName name="vrif">'SPL,SVL'!$F$16</definedName>
    <definedName name="W">Spherical!$B$2</definedName>
    <definedName name="W0">Spherical!$E$2</definedName>
    <definedName name="Z">'SPL,SVL'!$B$18</definedName>
    <definedName name="ZZ">'SPL,SVL'!$B$19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E6" i="4"/>
  <c r="E5" i="4" s="1"/>
  <c r="D4" i="4"/>
  <c r="D3" i="4"/>
  <c r="C24" i="3"/>
  <c r="C23" i="3"/>
  <c r="D18" i="3"/>
  <c r="C19" i="3"/>
  <c r="C5" i="3"/>
  <c r="B3" i="3"/>
  <c r="F12" i="3" s="1"/>
  <c r="B39" i="2"/>
  <c r="B36" i="2"/>
  <c r="B29" i="2"/>
  <c r="B28" i="2"/>
  <c r="C32" i="2" s="1"/>
  <c r="B25" i="2"/>
  <c r="F15" i="2"/>
  <c r="D17" i="2" s="1"/>
  <c r="B19" i="2"/>
  <c r="B21" i="2"/>
  <c r="B20" i="2"/>
  <c r="F16" i="2"/>
  <c r="D13" i="2"/>
  <c r="F12" i="2"/>
  <c r="B9" i="1"/>
  <c r="B8" i="1"/>
  <c r="B4" i="1"/>
  <c r="F11" i="3" l="1"/>
  <c r="D6" i="3"/>
  <c r="B4" i="3"/>
  <c r="B24" i="2"/>
  <c r="C26" i="2" s="1"/>
  <c r="E33" i="2" s="1"/>
</calcChain>
</file>

<file path=xl/sharedStrings.xml><?xml version="1.0" encoding="utf-8"?>
<sst xmlns="http://schemas.openxmlformats.org/spreadsheetml/2006/main" count="117" uniqueCount="81">
  <si>
    <t>Lightning distance estimation</t>
  </si>
  <si>
    <t>Tau =</t>
  </si>
  <si>
    <t>s</t>
  </si>
  <si>
    <t>between lightning and thunder</t>
  </si>
  <si>
    <t>T =</t>
  </si>
  <si>
    <t>°C</t>
  </si>
  <si>
    <t>t =</t>
  </si>
  <si>
    <t>K</t>
  </si>
  <si>
    <t>c =</t>
  </si>
  <si>
    <t>m/s</t>
  </si>
  <si>
    <t>d = c*tau =</t>
  </si>
  <si>
    <t>m</t>
  </si>
  <si>
    <t>Plane, progressive wave</t>
  </si>
  <si>
    <t>p =</t>
  </si>
  <si>
    <t>Pa</t>
  </si>
  <si>
    <t>SPL = 20*log10(p/prif) =</t>
  </si>
  <si>
    <t>prif =</t>
  </si>
  <si>
    <t>dB</t>
  </si>
  <si>
    <t>SVL = 20*log10(v/vrif) =</t>
  </si>
  <si>
    <t>vrif =</t>
  </si>
  <si>
    <t>rayl</t>
  </si>
  <si>
    <t>Z = p/v =</t>
  </si>
  <si>
    <t>v = p/Z =</t>
  </si>
  <si>
    <t>Z = rho*c =</t>
  </si>
  <si>
    <t>rho = p0/(R*T) =</t>
  </si>
  <si>
    <t>p0 =</t>
  </si>
  <si>
    <t>kg/m3</t>
  </si>
  <si>
    <t>theoretical</t>
  </si>
  <si>
    <t>W/m2</t>
  </si>
  <si>
    <t>SIL = 10*log10(I/Irif) =</t>
  </si>
  <si>
    <t>Irif =</t>
  </si>
  <si>
    <t>D =</t>
  </si>
  <si>
    <t>J/m3</t>
  </si>
  <si>
    <t>Drif =</t>
  </si>
  <si>
    <t>SDL = 10*log10(D/Drif) =</t>
  </si>
  <si>
    <t>standard atm. Pressure at sea level</t>
  </si>
  <si>
    <t>SDL = 10*log10((10^(SPL/10)+10^(SVL/10))/2) =</t>
  </si>
  <si>
    <t>Reactivity of the sound field</t>
  </si>
  <si>
    <t>DI index =</t>
  </si>
  <si>
    <t>&lt; SDL</t>
  </si>
  <si>
    <t>pI index =</t>
  </si>
  <si>
    <t>Wrong Reactivity Index according to ISO 9614 (sound power from sond intensity)</t>
  </si>
  <si>
    <t>I = p*v*cos(theta) =</t>
  </si>
  <si>
    <t>S</t>
  </si>
  <si>
    <t>M</t>
  </si>
  <si>
    <t>Lw =</t>
  </si>
  <si>
    <t>W =</t>
  </si>
  <si>
    <t>Watt</t>
  </si>
  <si>
    <t>W0 =</t>
  </si>
  <si>
    <t>r =</t>
  </si>
  <si>
    <t>I = W/S</t>
  </si>
  <si>
    <t>S = 4*pi*r^2 =</t>
  </si>
  <si>
    <t>m2</t>
  </si>
  <si>
    <t>SIL = Lw - 10*log10(S) =</t>
  </si>
  <si>
    <t>This is far field, hence SPL = SIL</t>
  </si>
  <si>
    <t>SPL = Lw +10*log10(1/(4*pi*r^2)) =</t>
  </si>
  <si>
    <t>Spherical field omnidirectional</t>
  </si>
  <si>
    <t>Q =</t>
  </si>
  <si>
    <t>SPL = Lw +10*log10(1/(4*pi*r^2)) +10*log10(Q)=</t>
  </si>
  <si>
    <t>Critical distance</t>
  </si>
  <si>
    <t>direct sound = reverberant sound</t>
  </si>
  <si>
    <t>V =</t>
  </si>
  <si>
    <t>m3</t>
  </si>
  <si>
    <t>Lrev = Lw +10*log10(4/A) =</t>
  </si>
  <si>
    <t>T60 = 0.16*V/A =</t>
  </si>
  <si>
    <t>A = 0.16*V/T60 =</t>
  </si>
  <si>
    <t xml:space="preserve"> Q = 1</t>
  </si>
  <si>
    <t>dcr =</t>
  </si>
  <si>
    <t>Q = 5</t>
  </si>
  <si>
    <t xml:space="preserve">L </t>
  </si>
  <si>
    <t>L =</t>
  </si>
  <si>
    <t>W' =</t>
  </si>
  <si>
    <t>W/m</t>
  </si>
  <si>
    <t>Lw' =</t>
  </si>
  <si>
    <t>dB/m</t>
  </si>
  <si>
    <t>Line source</t>
  </si>
  <si>
    <t>I = W/S =</t>
  </si>
  <si>
    <t>S = 2*pi*r*L =</t>
  </si>
  <si>
    <t>SIL = Lw'+10*log10(1/(2*pi*r)) =</t>
  </si>
  <si>
    <t>Ease</t>
  </si>
  <si>
    <t>Catt Acoustics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</si>
</sst>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2" fontId="0" fillId="2" borderId="0" xfId="0" applyNumberFormat="1" applyFill="1"/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horizontal="left"/>
    </xf>
    <xf numFmtId="164" fontId="1" fillId="2" borderId="0" xfId="0" applyNumberFormat="1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29308</xdr:colOff>
          <xdr:row>4</xdr:row>
          <xdr:rowOff>51289</xdr:rowOff>
        </xdr:from>
        <xdr:to>
          <xdr:col>1</xdr:col>
          <xdr:colOff>545857</xdr:colOff>
          <xdr:row>6</xdr:row>
          <xdr:rowOff>69697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83820</xdr:rowOff>
    </xdr:from>
    <xdr:to>
      <xdr:col>5</xdr:col>
      <xdr:colOff>667847</xdr:colOff>
      <xdr:row>10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1460"/>
          <a:ext cx="4571827" cy="142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518160</xdr:colOff>
      <xdr:row>6</xdr:row>
      <xdr:rowOff>22860</xdr:rowOff>
    </xdr:from>
    <xdr:to>
      <xdr:col>5</xdr:col>
      <xdr:colOff>38100</xdr:colOff>
      <xdr:row>6</xdr:row>
      <xdr:rowOff>160020</xdr:rowOff>
    </xdr:to>
    <xdr:sp macro="" textlink="">
      <xdr:nvSpPr>
        <xdr:cNvPr id="3" name="Oval 2"/>
        <xdr:cNvSpPr/>
      </xdr:nvSpPr>
      <xdr:spPr>
        <a:xfrm>
          <a:off x="2956560" y="1028700"/>
          <a:ext cx="129540" cy="137160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55880</xdr:colOff>
          <xdr:row>27</xdr:row>
          <xdr:rowOff>40640</xdr:rowOff>
        </xdr:from>
        <xdr:to>
          <xdr:col>6</xdr:col>
          <xdr:colOff>455569</xdr:colOff>
          <xdr:row>30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255698</xdr:colOff>
      <xdr:row>6</xdr:row>
      <xdr:rowOff>93568</xdr:rowOff>
    </xdr:from>
    <xdr:to>
      <xdr:col>4</xdr:col>
      <xdr:colOff>196312</xdr:colOff>
      <xdr:row>8</xdr:row>
      <xdr:rowOff>8746</xdr:rowOff>
    </xdr:to>
    <xdr:sp macro="" textlink="">
      <xdr:nvSpPr>
        <xdr:cNvPr id="2" name="Oval 1"/>
        <xdr:cNvSpPr/>
      </xdr:nvSpPr>
      <xdr:spPr>
        <a:xfrm rot="4319605">
          <a:off x="2228867" y="953751"/>
          <a:ext cx="251460" cy="54878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472440</xdr:colOff>
      <xdr:row>3</xdr:row>
      <xdr:rowOff>7620</xdr:rowOff>
    </xdr:from>
    <xdr:to>
      <xdr:col>6</xdr:col>
      <xdr:colOff>556260</xdr:colOff>
      <xdr:row>3</xdr:row>
      <xdr:rowOff>114300</xdr:rowOff>
    </xdr:to>
    <xdr:sp macro="" textlink="">
      <xdr:nvSpPr>
        <xdr:cNvPr id="5" name="Oval 4"/>
        <xdr:cNvSpPr/>
      </xdr:nvSpPr>
      <xdr:spPr>
        <a:xfrm>
          <a:off x="4130040" y="510540"/>
          <a:ext cx="83820" cy="1066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340252</xdr:colOff>
      <xdr:row>3</xdr:row>
      <xdr:rowOff>65467</xdr:rowOff>
    </xdr:from>
    <xdr:to>
      <xdr:col>6</xdr:col>
      <xdr:colOff>485032</xdr:colOff>
      <xdr:row>7</xdr:row>
      <xdr:rowOff>111187</xdr:rowOff>
    </xdr:to>
    <xdr:cxnSp macro="">
      <xdr:nvCxnSpPr>
        <xdr:cNvPr id="4" name="Straight Arrow Connector 3"/>
        <xdr:cNvCxnSpPr/>
      </xdr:nvCxnSpPr>
      <xdr:spPr>
        <a:xfrm flipV="1">
          <a:off x="2164759" y="569890"/>
          <a:ext cx="1969287" cy="71828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1</xdr:col>
          <xdr:colOff>456460</xdr:colOff>
          <xdr:row>21</xdr:row>
          <xdr:rowOff>150253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</xdr:colOff>
      <xdr:row>2</xdr:row>
      <xdr:rowOff>68580</xdr:rowOff>
    </xdr:from>
    <xdr:to>
      <xdr:col>1</xdr:col>
      <xdr:colOff>342900</xdr:colOff>
      <xdr:row>19</xdr:row>
      <xdr:rowOff>45720</xdr:rowOff>
    </xdr:to>
    <xdr:sp macro="" textlink="">
      <xdr:nvSpPr>
        <xdr:cNvPr id="4" name="Can 3"/>
        <xdr:cNvSpPr/>
      </xdr:nvSpPr>
      <xdr:spPr>
        <a:xfrm>
          <a:off x="830580" y="403860"/>
          <a:ext cx="121920" cy="282702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335280</xdr:colOff>
      <xdr:row>10</xdr:row>
      <xdr:rowOff>95250</xdr:rowOff>
    </xdr:from>
    <xdr:to>
      <xdr:col>4</xdr:col>
      <xdr:colOff>220980</xdr:colOff>
      <xdr:row>10</xdr:row>
      <xdr:rowOff>114300</xdr:rowOff>
    </xdr:to>
    <xdr:cxnSp macro="">
      <xdr:nvCxnSpPr>
        <xdr:cNvPr id="6" name="Straight Arrow Connector 5"/>
        <xdr:cNvCxnSpPr/>
      </xdr:nvCxnSpPr>
      <xdr:spPr>
        <a:xfrm>
          <a:off x="944880" y="1771650"/>
          <a:ext cx="1714500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10</xdr:row>
      <xdr:rowOff>60960</xdr:rowOff>
    </xdr:from>
    <xdr:to>
      <xdr:col>4</xdr:col>
      <xdr:colOff>342900</xdr:colOff>
      <xdr:row>11</xdr:row>
      <xdr:rowOff>15240</xdr:rowOff>
    </xdr:to>
    <xdr:sp macro="" textlink="">
      <xdr:nvSpPr>
        <xdr:cNvPr id="7" name="Oval 6"/>
        <xdr:cNvSpPr/>
      </xdr:nvSpPr>
      <xdr:spPr>
        <a:xfrm>
          <a:off x="2667000" y="1737360"/>
          <a:ext cx="114300" cy="1219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586740</xdr:colOff>
      <xdr:row>2</xdr:row>
      <xdr:rowOff>60960</xdr:rowOff>
    </xdr:from>
    <xdr:to>
      <xdr:col>0</xdr:col>
      <xdr:colOff>594360</xdr:colOff>
      <xdr:row>19</xdr:row>
      <xdr:rowOff>22860</xdr:rowOff>
    </xdr:to>
    <xdr:cxnSp macro="">
      <xdr:nvCxnSpPr>
        <xdr:cNvPr id="9" name="Straight Arrow Connector 8"/>
        <xdr:cNvCxnSpPr/>
      </xdr:nvCxnSpPr>
      <xdr:spPr>
        <a:xfrm>
          <a:off x="586740" y="396240"/>
          <a:ext cx="7620" cy="28117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4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"/>
  <sheetViews>
    <sheetView zoomScale="208" zoomScaleNormal="208" workbookViewId="0">
      <selection activeCell="B8" sqref="B8"/>
    </sheetView>
  </sheetViews>
  <sheetFormatPr defaultRowHeight="13.2" x14ac:dyDescent="0.25"/>
  <cols>
    <col min="1" max="1" width="9.77734375" customWidth="1"/>
  </cols>
  <sheetData>
    <row r="1" spans="1:4" x14ac:dyDescent="0.25">
      <c r="A1" s="1" t="s">
        <v>0</v>
      </c>
    </row>
    <row r="2" spans="1:4" x14ac:dyDescent="0.25">
      <c r="A2" t="s">
        <v>1</v>
      </c>
      <c r="B2">
        <v>5</v>
      </c>
      <c r="C2" t="s">
        <v>2</v>
      </c>
      <c r="D2" t="s">
        <v>3</v>
      </c>
    </row>
    <row r="3" spans="1:4" x14ac:dyDescent="0.25">
      <c r="A3" t="s">
        <v>6</v>
      </c>
      <c r="B3">
        <v>23</v>
      </c>
      <c r="C3" t="s">
        <v>5</v>
      </c>
    </row>
    <row r="4" spans="1:4" x14ac:dyDescent="0.25">
      <c r="A4" t="s">
        <v>4</v>
      </c>
      <c r="B4">
        <f>t+273</f>
        <v>296</v>
      </c>
      <c r="C4" t="s">
        <v>7</v>
      </c>
    </row>
    <row r="8" spans="1:4" x14ac:dyDescent="0.25">
      <c r="A8" t="s">
        <v>8</v>
      </c>
      <c r="B8">
        <f>SQRT(1.41*287*TT)</f>
        <v>346.0958248809136</v>
      </c>
      <c r="C8" t="s">
        <v>9</v>
      </c>
    </row>
    <row r="9" spans="1:4" x14ac:dyDescent="0.25">
      <c r="A9" t="s">
        <v>10</v>
      </c>
      <c r="B9">
        <f>cc*Tau</f>
        <v>1730.479124404568</v>
      </c>
      <c r="C9" t="s">
        <v>11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0</xdr:col>
                <xdr:colOff>30480</xdr:colOff>
                <xdr:row>4</xdr:row>
                <xdr:rowOff>53340</xdr:rowOff>
              </from>
              <to>
                <xdr:col>1</xdr:col>
                <xdr:colOff>548640</xdr:colOff>
                <xdr:row>6</xdr:row>
                <xdr:rowOff>68580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9"/>
  <sheetViews>
    <sheetView topLeftCell="A15" zoomScale="150" zoomScaleNormal="150" workbookViewId="0">
      <selection activeCell="F15" sqref="F15"/>
    </sheetView>
  </sheetViews>
  <sheetFormatPr defaultRowHeight="13.2" x14ac:dyDescent="0.25"/>
  <cols>
    <col min="1" max="1" width="13.77734375" customWidth="1"/>
    <col min="2" max="2" width="17" bestFit="1" customWidth="1"/>
    <col min="6" max="6" width="11.21875" bestFit="1" customWidth="1"/>
  </cols>
  <sheetData>
    <row r="1" spans="1:7" x14ac:dyDescent="0.25">
      <c r="A1" s="1" t="s">
        <v>12</v>
      </c>
    </row>
    <row r="11" spans="1:7" x14ac:dyDescent="0.25">
      <c r="E11" t="s">
        <v>13</v>
      </c>
      <c r="F11">
        <v>2</v>
      </c>
      <c r="G11" t="s">
        <v>14</v>
      </c>
    </row>
    <row r="12" spans="1:7" x14ac:dyDescent="0.25">
      <c r="E12" t="s">
        <v>16</v>
      </c>
      <c r="F12">
        <f>0.00002</f>
        <v>2.0000000000000002E-5</v>
      </c>
      <c r="G12" t="s">
        <v>14</v>
      </c>
    </row>
    <row r="13" spans="1:7" x14ac:dyDescent="0.25">
      <c r="A13" s="3" t="s">
        <v>15</v>
      </c>
      <c r="B13" s="3"/>
      <c r="C13" s="3"/>
      <c r="D13" s="4">
        <f>20*LOG10(p/prif)</f>
        <v>100</v>
      </c>
      <c r="E13" s="3" t="s">
        <v>17</v>
      </c>
    </row>
    <row r="15" spans="1:7" x14ac:dyDescent="0.25">
      <c r="E15" t="s">
        <v>22</v>
      </c>
      <c r="F15">
        <f>p/Z</f>
        <v>5.0000000000000001E-4</v>
      </c>
      <c r="G15" t="s">
        <v>9</v>
      </c>
    </row>
    <row r="16" spans="1:7" x14ac:dyDescent="0.25">
      <c r="E16" t="s">
        <v>19</v>
      </c>
      <c r="F16">
        <f>0.00000005</f>
        <v>4.9999999999999998E-8</v>
      </c>
      <c r="G16" t="s">
        <v>9</v>
      </c>
    </row>
    <row r="17" spans="1:5" x14ac:dyDescent="0.25">
      <c r="A17" s="3" t="s">
        <v>18</v>
      </c>
      <c r="B17" s="3"/>
      <c r="C17" s="3"/>
      <c r="D17" s="4">
        <f>20*LOG10(v/vrif)</f>
        <v>80</v>
      </c>
      <c r="E17" s="3" t="s">
        <v>17</v>
      </c>
    </row>
    <row r="18" spans="1:5" x14ac:dyDescent="0.25">
      <c r="A18" t="s">
        <v>21</v>
      </c>
      <c r="B18">
        <v>4000</v>
      </c>
      <c r="C18" t="s">
        <v>20</v>
      </c>
      <c r="D18" t="s">
        <v>27</v>
      </c>
    </row>
    <row r="19" spans="1:5" x14ac:dyDescent="0.25">
      <c r="A19" t="s">
        <v>23</v>
      </c>
      <c r="B19">
        <f>B20*rho</f>
        <v>412.7996922504305</v>
      </c>
      <c r="C19" t="s">
        <v>20</v>
      </c>
      <c r="D19" t="b">
        <v>1</v>
      </c>
    </row>
    <row r="20" spans="1:5" x14ac:dyDescent="0.25">
      <c r="A20" t="s">
        <v>8</v>
      </c>
      <c r="B20">
        <f>cc</f>
        <v>346.0958248809136</v>
      </c>
      <c r="C20" t="s">
        <v>9</v>
      </c>
    </row>
    <row r="21" spans="1:5" x14ac:dyDescent="0.25">
      <c r="A21" t="s">
        <v>24</v>
      </c>
      <c r="B21">
        <f>pzero/(287*TT)</f>
        <v>1.1927323665128544</v>
      </c>
      <c r="C21" t="s">
        <v>26</v>
      </c>
    </row>
    <row r="22" spans="1:5" x14ac:dyDescent="0.25">
      <c r="A22" t="s">
        <v>25</v>
      </c>
      <c r="B22">
        <v>101325</v>
      </c>
      <c r="C22" t="s">
        <v>14</v>
      </c>
      <c r="D22" t="s">
        <v>35</v>
      </c>
    </row>
    <row r="24" spans="1:5" x14ac:dyDescent="0.25">
      <c r="A24" t="s">
        <v>42</v>
      </c>
      <c r="B24">
        <f>p*v</f>
        <v>1E-3</v>
      </c>
      <c r="C24" t="s">
        <v>28</v>
      </c>
    </row>
    <row r="25" spans="1:5" x14ac:dyDescent="0.25">
      <c r="A25" t="s">
        <v>30</v>
      </c>
      <c r="B25">
        <f>0.000000000001</f>
        <v>9.9999999999999998E-13</v>
      </c>
      <c r="C25" t="s">
        <v>28</v>
      </c>
    </row>
    <row r="26" spans="1:5" x14ac:dyDescent="0.25">
      <c r="A26" s="3" t="s">
        <v>29</v>
      </c>
      <c r="B26" s="3"/>
      <c r="C26" s="4">
        <f>10*LOG10(I/Irif)</f>
        <v>90</v>
      </c>
      <c r="D26" s="3" t="s">
        <v>17</v>
      </c>
      <c r="E26" s="3" t="s">
        <v>39</v>
      </c>
    </row>
    <row r="28" spans="1:5" x14ac:dyDescent="0.25">
      <c r="A28" t="s">
        <v>31</v>
      </c>
      <c r="B28">
        <f>1/2*(rho*v^2+p^2/(rho*cc^2))</f>
        <v>1.4148003130438399E-5</v>
      </c>
      <c r="C28" t="s">
        <v>32</v>
      </c>
    </row>
    <row r="29" spans="1:5" x14ac:dyDescent="0.25">
      <c r="A29" t="s">
        <v>33</v>
      </c>
      <c r="B29">
        <f>0.000000000000003</f>
        <v>2.9999999999999998E-15</v>
      </c>
      <c r="C29" t="s">
        <v>32</v>
      </c>
    </row>
    <row r="32" spans="1:5" x14ac:dyDescent="0.25">
      <c r="A32" s="5" t="s">
        <v>34</v>
      </c>
      <c r="B32" s="5"/>
      <c r="C32" s="6">
        <f>10*LOG10(D/Drif)</f>
        <v>96.735738925166316</v>
      </c>
      <c r="D32" s="5" t="s">
        <v>17</v>
      </c>
    </row>
    <row r="33" spans="1:6" x14ac:dyDescent="0.25">
      <c r="A33" s="3" t="s">
        <v>36</v>
      </c>
      <c r="B33" s="3"/>
      <c r="C33" s="3"/>
      <c r="D33" s="3"/>
      <c r="E33" s="4">
        <f>10*LOG10((10^(D13/10)+10^(C26/10))/2)</f>
        <v>97.403626894942448</v>
      </c>
      <c r="F33" s="3" t="s">
        <v>17</v>
      </c>
    </row>
    <row r="35" spans="1:6" x14ac:dyDescent="0.25">
      <c r="A35" t="s">
        <v>37</v>
      </c>
    </row>
    <row r="36" spans="1:6" x14ac:dyDescent="0.25">
      <c r="A36" s="3" t="s">
        <v>38</v>
      </c>
      <c r="B36" s="7">
        <f>E33-C26</f>
        <v>7.4036268949424482</v>
      </c>
      <c r="C36" s="3" t="s">
        <v>17</v>
      </c>
    </row>
    <row r="38" spans="1:6" x14ac:dyDescent="0.25">
      <c r="A38" t="s">
        <v>41</v>
      </c>
    </row>
    <row r="39" spans="1:6" x14ac:dyDescent="0.25">
      <c r="A39" s="3" t="s">
        <v>40</v>
      </c>
      <c r="B39" s="4">
        <f>D13-C26</f>
        <v>10</v>
      </c>
      <c r="C39" s="3" t="s">
        <v>17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>
              <from>
                <xdr:col>3</xdr:col>
                <xdr:colOff>53340</xdr:colOff>
                <xdr:row>27</xdr:row>
                <xdr:rowOff>38100</xdr:rowOff>
              </from>
              <to>
                <xdr:col>6</xdr:col>
                <xdr:colOff>457200</xdr:colOff>
                <xdr:row>30</xdr:row>
                <xdr:rowOff>152400</xdr:rowOff>
              </to>
            </anchor>
          </objectPr>
        </oleObject>
      </mc:Choice>
      <mc:Fallback>
        <oleObject progId="Equation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zoomScale="160" zoomScaleNormal="160" workbookViewId="0">
      <selection activeCell="F11" sqref="F11"/>
    </sheetView>
  </sheetViews>
  <sheetFormatPr defaultRowHeight="13.2" x14ac:dyDescent="0.25"/>
  <sheetData>
    <row r="1" spans="1:8" x14ac:dyDescent="0.25">
      <c r="A1" t="s">
        <v>56</v>
      </c>
    </row>
    <row r="2" spans="1:8" x14ac:dyDescent="0.25">
      <c r="A2" t="s">
        <v>46</v>
      </c>
      <c r="B2">
        <v>1</v>
      </c>
      <c r="C2" t="s">
        <v>47</v>
      </c>
      <c r="D2" t="s">
        <v>48</v>
      </c>
      <c r="E2" s="9">
        <v>9.9999999999999998E-13</v>
      </c>
      <c r="F2" t="s">
        <v>47</v>
      </c>
    </row>
    <row r="3" spans="1:8" x14ac:dyDescent="0.25">
      <c r="A3" t="s">
        <v>45</v>
      </c>
      <c r="B3">
        <f>10*LOG10(W/W0)</f>
        <v>120</v>
      </c>
      <c r="C3" t="s">
        <v>17</v>
      </c>
      <c r="G3" s="8" t="s">
        <v>44</v>
      </c>
    </row>
    <row r="4" spans="1:8" x14ac:dyDescent="0.25">
      <c r="A4" t="s">
        <v>50</v>
      </c>
      <c r="B4">
        <f>W/S</f>
        <v>1.9894367886486918E-2</v>
      </c>
      <c r="C4" t="s">
        <v>28</v>
      </c>
    </row>
    <row r="5" spans="1:8" x14ac:dyDescent="0.25">
      <c r="A5" t="s">
        <v>51</v>
      </c>
      <c r="C5">
        <f>4*PI()*G7^2</f>
        <v>50.26548245743669</v>
      </c>
      <c r="D5" t="s">
        <v>52</v>
      </c>
    </row>
    <row r="6" spans="1:8" x14ac:dyDescent="0.25">
      <c r="A6" t="s">
        <v>53</v>
      </c>
      <c r="D6" s="2">
        <f>Lw-10*LOG10(S)</f>
        <v>102.98730144649942</v>
      </c>
      <c r="E6" t="s">
        <v>17</v>
      </c>
    </row>
    <row r="7" spans="1:8" x14ac:dyDescent="0.25">
      <c r="D7" t="s">
        <v>43</v>
      </c>
      <c r="F7" t="s">
        <v>49</v>
      </c>
      <c r="G7">
        <v>2</v>
      </c>
      <c r="H7" t="s">
        <v>11</v>
      </c>
    </row>
    <row r="9" spans="1:8" x14ac:dyDescent="0.25">
      <c r="D9" s="8" t="s">
        <v>57</v>
      </c>
      <c r="E9" s="10">
        <v>20</v>
      </c>
    </row>
    <row r="10" spans="1:8" x14ac:dyDescent="0.25">
      <c r="A10" t="s">
        <v>54</v>
      </c>
    </row>
    <row r="11" spans="1:8" x14ac:dyDescent="0.25">
      <c r="A11" t="s">
        <v>55</v>
      </c>
      <c r="F11" s="11">
        <f>Lw+10*LOG10(1/(4*PI()*G7^2))</f>
        <v>102.98730144649942</v>
      </c>
      <c r="G11" s="12" t="s">
        <v>17</v>
      </c>
    </row>
    <row r="12" spans="1:8" x14ac:dyDescent="0.25">
      <c r="A12" t="s">
        <v>58</v>
      </c>
      <c r="F12" s="2">
        <f>Lw+10*LOG10(Q/(4*PI()*G7^2))</f>
        <v>115.99760140313923</v>
      </c>
      <c r="G12" t="s">
        <v>17</v>
      </c>
    </row>
    <row r="14" spans="1:8" x14ac:dyDescent="0.25">
      <c r="A14" t="s">
        <v>59</v>
      </c>
    </row>
    <row r="15" spans="1:8" x14ac:dyDescent="0.25">
      <c r="A15" t="s">
        <v>60</v>
      </c>
    </row>
    <row r="16" spans="1:8" x14ac:dyDescent="0.25">
      <c r="A16" t="s">
        <v>61</v>
      </c>
      <c r="B16">
        <v>1000</v>
      </c>
      <c r="C16" t="s">
        <v>62</v>
      </c>
    </row>
    <row r="17" spans="1:5" x14ac:dyDescent="0.25">
      <c r="A17" t="s">
        <v>64</v>
      </c>
      <c r="C17">
        <v>3</v>
      </c>
      <c r="D17" t="s">
        <v>2</v>
      </c>
    </row>
    <row r="18" spans="1:5" x14ac:dyDescent="0.25">
      <c r="A18" t="s">
        <v>63</v>
      </c>
      <c r="D18" s="2">
        <f>Lw+10*LOG10(4/A)</f>
        <v>108.750612633917</v>
      </c>
      <c r="E18" t="s">
        <v>17</v>
      </c>
    </row>
    <row r="19" spans="1:5" x14ac:dyDescent="0.25">
      <c r="A19" t="s">
        <v>65</v>
      </c>
      <c r="C19">
        <f>0.16*Vol/T_60</f>
        <v>53.333333333333336</v>
      </c>
      <c r="D19" t="s">
        <v>52</v>
      </c>
    </row>
    <row r="23" spans="1:5" x14ac:dyDescent="0.25">
      <c r="A23" t="s">
        <v>66</v>
      </c>
      <c r="B23" t="s">
        <v>67</v>
      </c>
      <c r="C23">
        <f>SQRT(1*A/(16*PI()))</f>
        <v>1.0300645387285057</v>
      </c>
      <c r="D23" t="s">
        <v>11</v>
      </c>
    </row>
    <row r="24" spans="1:5" x14ac:dyDescent="0.25">
      <c r="A24" t="s">
        <v>68</v>
      </c>
      <c r="B24" t="s">
        <v>67</v>
      </c>
      <c r="C24">
        <f>SQRT(Q*A/(16*PI()))</f>
        <v>4.6065886596178061</v>
      </c>
      <c r="D24" t="s">
        <v>11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1</xdr:col>
                <xdr:colOff>457200</xdr:colOff>
                <xdr:row>21</xdr:row>
                <xdr:rowOff>152400</xdr:rowOff>
              </to>
            </anchor>
          </objectPr>
        </oleObject>
      </mc:Choice>
      <mc:Fallback>
        <oleObject progId="Equation.3" shapeId="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131" zoomScaleNormal="131" workbookViewId="0">
      <selection activeCell="C20" sqref="C20"/>
    </sheetView>
  </sheetViews>
  <sheetFormatPr defaultRowHeight="13.2" x14ac:dyDescent="0.25"/>
  <sheetData>
    <row r="1" spans="1:7" x14ac:dyDescent="0.25">
      <c r="A1" t="s">
        <v>75</v>
      </c>
    </row>
    <row r="2" spans="1:7" x14ac:dyDescent="0.25">
      <c r="C2" t="s">
        <v>46</v>
      </c>
      <c r="D2">
        <v>1</v>
      </c>
      <c r="E2" t="s">
        <v>47</v>
      </c>
    </row>
    <row r="3" spans="1:7" x14ac:dyDescent="0.25">
      <c r="C3" t="s">
        <v>71</v>
      </c>
      <c r="D3">
        <f>D2/L</f>
        <v>8.3333333333333329E-2</v>
      </c>
      <c r="E3" t="s">
        <v>72</v>
      </c>
    </row>
    <row r="4" spans="1:7" x14ac:dyDescent="0.25">
      <c r="C4" t="s">
        <v>73</v>
      </c>
      <c r="D4">
        <f>10*LOG10(D3/0.000000000001)</f>
        <v>109.20818753952375</v>
      </c>
      <c r="E4" t="s">
        <v>74</v>
      </c>
    </row>
    <row r="5" spans="1:7" x14ac:dyDescent="0.25">
      <c r="C5" t="s">
        <v>76</v>
      </c>
      <c r="E5">
        <f>D2/SS</f>
        <v>6.6314559621623061E-3</v>
      </c>
      <c r="F5" t="s">
        <v>28</v>
      </c>
    </row>
    <row r="6" spans="1:7" x14ac:dyDescent="0.25">
      <c r="C6" t="s">
        <v>77</v>
      </c>
      <c r="E6">
        <f>2*PI()*rrr*L</f>
        <v>150.79644737231007</v>
      </c>
      <c r="F6" t="s">
        <v>52</v>
      </c>
    </row>
    <row r="7" spans="1:7" x14ac:dyDescent="0.25">
      <c r="C7" t="s">
        <v>78</v>
      </c>
      <c r="F7" s="11">
        <f>D4+10*LOG10(1/(2*PI()*rrr))</f>
        <v>98.21608889930279</v>
      </c>
      <c r="G7" s="12" t="s">
        <v>17</v>
      </c>
    </row>
    <row r="10" spans="1:7" x14ac:dyDescent="0.25">
      <c r="A10" s="8" t="s">
        <v>69</v>
      </c>
    </row>
    <row r="12" spans="1:7" x14ac:dyDescent="0.25">
      <c r="D12" t="s">
        <v>49</v>
      </c>
      <c r="E12">
        <v>2</v>
      </c>
      <c r="F12" t="s">
        <v>11</v>
      </c>
    </row>
    <row r="13" spans="1:7" x14ac:dyDescent="0.25">
      <c r="D13" t="s">
        <v>70</v>
      </c>
      <c r="E13">
        <v>12</v>
      </c>
      <c r="F13" t="s">
        <v>11</v>
      </c>
    </row>
    <row r="18" spans="3:3" x14ac:dyDescent="0.25">
      <c r="C18" t="s">
        <v>79</v>
      </c>
    </row>
    <row r="19" spans="3:3" x14ac:dyDescent="0.25">
      <c r="C19" t="s">
        <v>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27</vt:i4>
      </vt:variant>
    </vt:vector>
  </HeadingPairs>
  <TitlesOfParts>
    <vt:vector size="31" baseType="lpstr">
      <vt:lpstr>Lightning</vt:lpstr>
      <vt:lpstr>SPL,SVL</vt:lpstr>
      <vt:lpstr>Spherical</vt:lpstr>
      <vt:lpstr>Cylindrical</vt:lpstr>
      <vt:lpstr>A</vt:lpstr>
      <vt:lpstr>cc</vt:lpstr>
      <vt:lpstr>D</vt:lpstr>
      <vt:lpstr>Drif</vt:lpstr>
      <vt:lpstr>I</vt:lpstr>
      <vt:lpstr>Irif</vt:lpstr>
      <vt:lpstr>L</vt:lpstr>
      <vt:lpstr>Lw</vt:lpstr>
      <vt:lpstr>p</vt:lpstr>
      <vt:lpstr>prif</vt:lpstr>
      <vt:lpstr>pzero</vt:lpstr>
      <vt:lpstr>Q</vt:lpstr>
      <vt:lpstr>rho</vt:lpstr>
      <vt:lpstr>rrr</vt:lpstr>
      <vt:lpstr>S</vt:lpstr>
      <vt:lpstr>SS</vt:lpstr>
      <vt:lpstr>t</vt:lpstr>
      <vt:lpstr>T_60</vt:lpstr>
      <vt:lpstr>Tau</vt:lpstr>
      <vt:lpstr>TT</vt:lpstr>
      <vt:lpstr>v</vt:lpstr>
      <vt:lpstr>Vol</vt:lpstr>
      <vt:lpstr>vrif</vt:lpstr>
      <vt:lpstr>W</vt:lpstr>
      <vt:lpstr>W0</vt:lpstr>
      <vt:lpstr>Z</vt:lpstr>
      <vt:lpstr>ZZ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2016-05-17T13:21:54Z</dcterms:created>
  <dcterms:modified xsi:type="dcterms:W3CDTF">2016-05-17T15:27:56Z</dcterms:modified>
</cp:coreProperties>
</file>