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Farina\My Documents\Esami\29-01-2021\"/>
    </mc:Choice>
  </mc:AlternateContent>
  <xr:revisionPtr revIDLastSave="0" documentId="13_ncr:1_{5B89F38F-33AD-4092-BFE3-955FAF1C878E}" xr6:coauthVersionLast="46" xr6:coauthVersionMax="46" xr10:uidLastSave="{00000000-0000-0000-0000-000000000000}"/>
  <bookViews>
    <workbookView xWindow="848" yWindow="-98" windowWidth="22290" windowHeight="14595" activeTab="1" xr2:uid="{00000000-000D-0000-FFFF-FFFF00000000}"/>
  </bookViews>
  <sheets>
    <sheet name="Form responses 1" sheetId="1" r:id="rId1"/>
    <sheet name="Scores" sheetId="2" r:id="rId2"/>
    <sheet name="Solution" sheetId="3" r:id="rId3"/>
  </sheets>
  <definedNames>
    <definedName name="Alfa">Solution!$B$9</definedName>
    <definedName name="d">Solution!$E$18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Q2" i="2"/>
  <c r="Q3" i="2"/>
  <c r="O4" i="2"/>
  <c r="O3" i="2"/>
  <c r="O2" i="2"/>
  <c r="M4" i="2"/>
  <c r="E4" i="2"/>
  <c r="E3" i="2"/>
  <c r="E2" i="2"/>
  <c r="AF4" i="2"/>
  <c r="AB4" i="2"/>
  <c r="X4" i="2"/>
  <c r="T4" i="2"/>
  <c r="P4" i="2"/>
  <c r="L4" i="2"/>
  <c r="F4" i="2"/>
  <c r="D4" i="2"/>
  <c r="C4" i="2"/>
  <c r="B4" i="2"/>
  <c r="AF3" i="2"/>
  <c r="AB3" i="2"/>
  <c r="X3" i="2"/>
  <c r="T3" i="2"/>
  <c r="P3" i="2"/>
  <c r="L3" i="2"/>
  <c r="F3" i="2"/>
  <c r="D3" i="2"/>
  <c r="C3" i="2"/>
  <c r="B3" i="2"/>
  <c r="G3" i="2" l="1"/>
  <c r="G4" i="2"/>
  <c r="H4" i="2" l="1"/>
  <c r="I4" i="2" s="1"/>
  <c r="H3" i="2"/>
  <c r="I3" i="2" l="1"/>
  <c r="J3" i="2" s="1"/>
  <c r="J4" i="2"/>
  <c r="K4" i="2"/>
  <c r="K3" i="2" l="1"/>
  <c r="M3" i="2" s="1"/>
  <c r="AC4" i="2"/>
  <c r="AE4" i="2" s="1"/>
  <c r="U4" i="2"/>
  <c r="W4" i="2" s="1"/>
  <c r="Y4" i="2"/>
  <c r="AA4" i="2" s="1"/>
  <c r="AG4" i="2"/>
  <c r="AI4" i="2" s="1"/>
  <c r="AC3" i="2"/>
  <c r="AE3" i="2" s="1"/>
  <c r="Y3" i="2"/>
  <c r="U3" i="2"/>
  <c r="W3" i="2" s="1"/>
  <c r="S3" i="2"/>
  <c r="AG3" i="2"/>
  <c r="AI3" i="2" s="1"/>
  <c r="AJ3" i="2" l="1"/>
  <c r="AJ4" i="2"/>
  <c r="O18" i="3" l="1"/>
  <c r="F2" i="2"/>
  <c r="G2" i="2" s="1"/>
  <c r="J24" i="3"/>
  <c r="J21" i="3"/>
  <c r="E21" i="3"/>
  <c r="B21" i="3"/>
  <c r="B24" i="3"/>
  <c r="H18" i="3"/>
  <c r="E18" i="3"/>
  <c r="B18" i="3"/>
  <c r="M15" i="3"/>
  <c r="H15" i="3"/>
  <c r="E15" i="3"/>
  <c r="B15" i="3"/>
  <c r="J12" i="3"/>
  <c r="J9" i="3"/>
  <c r="F9" i="3"/>
  <c r="D9" i="3"/>
  <c r="B9" i="3"/>
  <c r="AF2" i="2"/>
  <c r="AB2" i="2"/>
  <c r="X2" i="2"/>
  <c r="T2" i="2"/>
  <c r="P2" i="2"/>
  <c r="L2" i="2"/>
  <c r="D2" i="2"/>
  <c r="C2" i="2"/>
  <c r="B2" i="2"/>
  <c r="AF1" i="2"/>
  <c r="AB1" i="2"/>
  <c r="X1" i="2"/>
  <c r="T1" i="2"/>
  <c r="P1" i="2"/>
  <c r="L1" i="2"/>
  <c r="E1" i="2"/>
  <c r="D1" i="2"/>
  <c r="H2" i="2" l="1"/>
  <c r="I2" i="2" s="1"/>
  <c r="C1" i="2"/>
  <c r="B1" i="2"/>
  <c r="J2" i="2" l="1"/>
  <c r="K2" i="2" l="1"/>
  <c r="AG2" i="2" l="1"/>
  <c r="AC2" i="2"/>
  <c r="Y2" i="2"/>
  <c r="M2" i="2"/>
  <c r="U2" i="2"/>
  <c r="AE2" i="2"/>
  <c r="S2" i="2"/>
  <c r="AI2" i="2"/>
  <c r="AJ2" i="2" l="1"/>
</calcChain>
</file>

<file path=xl/sharedStrings.xml><?xml version="1.0" encoding="utf-8"?>
<sst xmlns="http://schemas.openxmlformats.org/spreadsheetml/2006/main" count="125" uniqueCount="66">
  <si>
    <t>Timestamp</t>
  </si>
  <si>
    <t>Email address</t>
  </si>
  <si>
    <t>Matricola</t>
  </si>
  <si>
    <t>A</t>
  </si>
  <si>
    <t>B</t>
  </si>
  <si>
    <t>C</t>
  </si>
  <si>
    <t>D</t>
  </si>
  <si>
    <t>E</t>
  </si>
  <si>
    <t>F</t>
  </si>
  <si>
    <t>OK v.</t>
  </si>
  <si>
    <t>OK u.</t>
  </si>
  <si>
    <t>Punti</t>
  </si>
  <si>
    <t>N.</t>
  </si>
  <si>
    <t>dB(A)</t>
  </si>
  <si>
    <t>Surname and Name</t>
  </si>
  <si>
    <t>TOTAL SCORE</t>
  </si>
  <si>
    <t>dB</t>
  </si>
  <si>
    <t>reinhardt.rading@studenti.unipr.it</t>
  </si>
  <si>
    <t>Applied Acoustics - Exam of 29/01/2021</t>
  </si>
  <si>
    <t>1) The absorption coefficient of a surface is 0.5+F/15. If the sound pressure of the incident wave was equal to 1+E/3 Pa, what is the sound pressure of the reflected wave?</t>
  </si>
  <si>
    <t>2) In the case of the previous exercise, compute the reduction of the SPL caused by the reflection of the sound wave over the surface having an absorption coefficient α = 0.5+F/15.</t>
  </si>
  <si>
    <t>3) A wall is characterized with a sound reduction index R = 40+F dB. The wall has a surface of 10+E m², and the receiving room as an equivalent absorption area A = 5+D/2 m². Compute the sound insulation D.</t>
  </si>
  <si>
    <t>4) Each train passing along a railway produces a SEL of 104+F dB(A) at the reference distance of 7.5m. Compute the Leq at a receiver located  at 50+E m from the axis of the track, knowing that in one hour there are 10+D train passages and ignoring the background noise.</t>
  </si>
  <si>
    <t xml:space="preserve">5) Find the power level Lw of a sound source placed outdoors over a reflecting plane, knowing that an average SPL = 80+F dB(A) has been measured over a surrounding cubical surface having a side of 5 m. </t>
  </si>
  <si>
    <t xml:space="preserve">6) Find the power level Lw of a sound source placed outdoors over a reflecting plane, knowing that an average SPL = 80+F dB(A) has been measured at a distance of 5 m from its center. </t>
  </si>
  <si>
    <t>Alfa =</t>
  </si>
  <si>
    <t>r =</t>
  </si>
  <si>
    <t>Pinc =</t>
  </si>
  <si>
    <t>Pa</t>
  </si>
  <si>
    <t>Prif = Pinc *sqrt(r) =</t>
  </si>
  <si>
    <t>Delta L = 10*log10(1-Alfa) =</t>
  </si>
  <si>
    <t>R =</t>
  </si>
  <si>
    <t>S =</t>
  </si>
  <si>
    <t>m2</t>
  </si>
  <si>
    <t>A =</t>
  </si>
  <si>
    <t>D = R +10*log10(A/S) =</t>
  </si>
  <si>
    <t>SEL =</t>
  </si>
  <si>
    <t>d =</t>
  </si>
  <si>
    <t>m</t>
  </si>
  <si>
    <t>Ntrains/h =</t>
  </si>
  <si>
    <t>tr/h</t>
  </si>
  <si>
    <t>Lw = SPL+10*log10(S) =</t>
  </si>
  <si>
    <t>SPL =</t>
  </si>
  <si>
    <t>Lw = SPL+8+20*log10(r) =</t>
  </si>
  <si>
    <t>Leq = SEL +10*log10(N/3600) +10*log10(7.5/d) =</t>
  </si>
  <si>
    <t>Matricula number</t>
  </si>
  <si>
    <t>alvaro.gomezcurto@studenti.unipr.it</t>
  </si>
  <si>
    <t>Gómez Curto, Álvaro</t>
  </si>
  <si>
    <t>0.7 Pa</t>
  </si>
  <si>
    <t>90.88 Db</t>
  </si>
  <si>
    <t>74.75 Db</t>
  </si>
  <si>
    <t>143 W</t>
  </si>
  <si>
    <t>128 W</t>
  </si>
  <si>
    <t>Rading Reinhardt</t>
  </si>
  <si>
    <t>0.632 pa</t>
  </si>
  <si>
    <t>95 dB (A)</t>
  </si>
  <si>
    <t>42.26 dB</t>
  </si>
  <si>
    <t>76.36 dB(A)</t>
  </si>
  <si>
    <t>98.73 dB(A)</t>
  </si>
  <si>
    <t>96 dB(A)</t>
  </si>
  <si>
    <t>hiba.rhmani@studenti.unipr.it</t>
  </si>
  <si>
    <t>hiba rhmani</t>
  </si>
  <si>
    <t>2.55 Pa</t>
  </si>
  <si>
    <t>39.82 dB</t>
  </si>
  <si>
    <t>95.7 dB</t>
  </si>
  <si>
    <t>118.97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</si>
</sst>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0.0"/>
    <numFmt numFmtId="166" formatCode="0.000"/>
  </numFmts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 applyFont="1" applyAlignment="1"/>
    <xf numFmtId="0" fontId="2" fillId="3" borderId="1" xfId="1" applyFont="1" applyFill="1" applyBorder="1" applyAlignment="1">
      <alignment horizontal="center" vertical="center" wrapText="1"/>
    </xf>
    <xf numFmtId="165" fontId="5" fillId="0" borderId="1" xfId="1" applyNumberFormat="1" applyFont="1" applyBorder="1"/>
    <xf numFmtId="0" fontId="5" fillId="0" borderId="1" xfId="1" applyFont="1" applyBorder="1" applyAlignment="1">
      <alignment horizontal="left"/>
    </xf>
    <xf numFmtId="0" fontId="5" fillId="4" borderId="1" xfId="1" applyFont="1" applyFill="1" applyBorder="1" applyAlignment="1">
      <alignment horizontal="center"/>
    </xf>
    <xf numFmtId="0" fontId="6" fillId="0" borderId="0" xfId="1" applyFont="1"/>
    <xf numFmtId="0" fontId="3" fillId="0" borderId="0" xfId="1"/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0" borderId="0" xfId="0" applyFont="1" applyAlignment="1"/>
    <xf numFmtId="0" fontId="6" fillId="0" borderId="0" xfId="0" applyFont="1" applyAlignment="1"/>
    <xf numFmtId="165" fontId="6" fillId="0" borderId="8" xfId="0" applyNumberFormat="1" applyFont="1" applyBorder="1" applyAlignment="1"/>
    <xf numFmtId="0" fontId="6" fillId="0" borderId="9" xfId="0" applyFont="1" applyBorder="1" applyAlignment="1"/>
    <xf numFmtId="0" fontId="4" fillId="2" borderId="10" xfId="1" applyFont="1" applyFill="1" applyBorder="1" applyAlignment="1">
      <alignment horizontal="center" vertical="center" wrapText="1"/>
    </xf>
    <xf numFmtId="166" fontId="5" fillId="0" borderId="1" xfId="1" applyNumberFormat="1" applyFont="1" applyBorder="1"/>
    <xf numFmtId="2" fontId="4" fillId="2" borderId="11" xfId="1" applyNumberFormat="1" applyFont="1" applyFill="1" applyBorder="1" applyAlignment="1">
      <alignment horizontal="center" vertical="center" wrapText="1"/>
    </xf>
    <xf numFmtId="2" fontId="4" fillId="2" borderId="11" xfId="1" applyNumberFormat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5" fillId="5" borderId="13" xfId="1" applyFont="1" applyFill="1" applyBorder="1" applyAlignment="1">
      <alignment horizontal="center"/>
    </xf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6" fillId="0" borderId="8" xfId="0" applyFont="1" applyBorder="1" applyAlignment="1"/>
    <xf numFmtId="166" fontId="6" fillId="0" borderId="8" xfId="0" applyNumberFormat="1" applyFont="1" applyBorder="1" applyAlignme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E25C94AC-43D9-4001-8667-7230DB8CA626}"/>
  </cellStyles>
  <dxfs count="69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"/>
  <sheetViews>
    <sheetView workbookViewId="0">
      <pane ySplit="1" topLeftCell="A2" activePane="bottomLeft" state="frozen"/>
      <selection pane="bottomLeft" activeCell="A5" sqref="A5:XFD6"/>
    </sheetView>
  </sheetViews>
  <sheetFormatPr defaultColWidth="14.3984375" defaultRowHeight="15.75" customHeight="1" x14ac:dyDescent="0.35"/>
  <cols>
    <col min="1" max="14" width="21.53125" customWidth="1"/>
  </cols>
  <sheetData>
    <row r="1" spans="1:10" ht="12.75" x14ac:dyDescent="0.35">
      <c r="A1" s="30" t="s">
        <v>0</v>
      </c>
      <c r="B1" s="30" t="s">
        <v>1</v>
      </c>
      <c r="C1" s="30" t="s">
        <v>14</v>
      </c>
      <c r="D1" s="30" t="s">
        <v>45</v>
      </c>
      <c r="E1" s="30" t="s">
        <v>19</v>
      </c>
      <c r="F1" s="30" t="s">
        <v>20</v>
      </c>
      <c r="G1" s="30" t="s">
        <v>21</v>
      </c>
      <c r="H1" s="30" t="s">
        <v>22</v>
      </c>
      <c r="I1" s="30" t="s">
        <v>23</v>
      </c>
      <c r="J1" s="30" t="s">
        <v>24</v>
      </c>
    </row>
    <row r="2" spans="1:10" ht="15.75" customHeight="1" x14ac:dyDescent="0.35">
      <c r="A2" s="31">
        <v>44225.434708587964</v>
      </c>
      <c r="B2" s="30" t="s">
        <v>46</v>
      </c>
      <c r="C2" s="30" t="s">
        <v>47</v>
      </c>
      <c r="D2" s="30">
        <v>320733</v>
      </c>
      <c r="E2" s="30" t="s">
        <v>48</v>
      </c>
      <c r="F2" s="30" t="s">
        <v>49</v>
      </c>
      <c r="G2" s="26"/>
      <c r="H2" s="30" t="s">
        <v>50</v>
      </c>
      <c r="I2" s="30" t="s">
        <v>51</v>
      </c>
      <c r="J2" s="30" t="s">
        <v>52</v>
      </c>
    </row>
    <row r="3" spans="1:10" ht="15.75" customHeight="1" x14ac:dyDescent="0.35">
      <c r="A3" s="31">
        <v>44225.435089224542</v>
      </c>
      <c r="B3" s="30" t="s">
        <v>17</v>
      </c>
      <c r="C3" s="30" t="s">
        <v>53</v>
      </c>
      <c r="D3" s="30">
        <v>301136</v>
      </c>
      <c r="E3" s="30" t="s">
        <v>54</v>
      </c>
      <c r="F3" s="30" t="s">
        <v>55</v>
      </c>
      <c r="G3" s="30" t="s">
        <v>56</v>
      </c>
      <c r="H3" s="30" t="s">
        <v>57</v>
      </c>
      <c r="I3" s="30" t="s">
        <v>58</v>
      </c>
      <c r="J3" s="30" t="s">
        <v>59</v>
      </c>
    </row>
    <row r="4" spans="1:10" ht="15.75" customHeight="1" x14ac:dyDescent="0.35">
      <c r="A4" s="31">
        <v>44225.435923206023</v>
      </c>
      <c r="B4" s="30" t="s">
        <v>60</v>
      </c>
      <c r="C4" s="30" t="s">
        <v>61</v>
      </c>
      <c r="D4" s="30">
        <v>325374</v>
      </c>
      <c r="E4" s="30" t="s">
        <v>62</v>
      </c>
      <c r="F4" s="26"/>
      <c r="G4" s="30" t="s">
        <v>63</v>
      </c>
      <c r="H4" s="26"/>
      <c r="I4" s="30" t="s">
        <v>64</v>
      </c>
      <c r="J4" s="30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3364-E1DD-43E4-9284-ABDE93E53A92}">
  <sheetPr>
    <outlinePr summaryBelow="0" summaryRight="0"/>
  </sheetPr>
  <dimension ref="A1:AJ4"/>
  <sheetViews>
    <sheetView tabSelected="1" workbookViewId="0">
      <pane ySplit="1" topLeftCell="A2" activePane="bottomLeft" state="frozen"/>
      <selection pane="bottomLeft" activeCell="A4" sqref="A4"/>
    </sheetView>
  </sheetViews>
  <sheetFormatPr defaultColWidth="14.3984375" defaultRowHeight="15.75" customHeight="1" x14ac:dyDescent="0.35"/>
  <cols>
    <col min="1" max="1" width="3.6640625" customWidth="1"/>
    <col min="2" max="2" width="17.9296875" customWidth="1"/>
    <col min="3" max="4" width="21.53125" customWidth="1"/>
    <col min="5" max="5" width="9.33203125" customWidth="1"/>
    <col min="6" max="11" width="2.9296875" customWidth="1"/>
    <col min="12" max="12" width="28.9296875" customWidth="1"/>
    <col min="13" max="13" width="8.796875" customWidth="1"/>
    <col min="14" max="14" width="6.1328125" customWidth="1"/>
    <col min="15" max="15" width="5.59765625" customWidth="1"/>
    <col min="16" max="16" width="29.1328125" customWidth="1"/>
    <col min="17" max="19" width="5.796875" customWidth="1"/>
    <col min="20" max="20" width="23.73046875" customWidth="1"/>
    <col min="21" max="23" width="6.06640625" customWidth="1"/>
    <col min="24" max="24" width="17.796875" customWidth="1"/>
    <col min="25" max="27" width="6.1328125" customWidth="1"/>
    <col min="28" max="28" width="22.1328125" customWidth="1"/>
    <col min="29" max="29" width="7.59765625" customWidth="1"/>
    <col min="30" max="31" width="6.53125" customWidth="1"/>
    <col min="32" max="32" width="31.6640625" customWidth="1"/>
    <col min="33" max="35" width="6.3984375" customWidth="1"/>
    <col min="36" max="36" width="10.59765625" customWidth="1"/>
    <col min="37" max="38" width="21.53125" customWidth="1"/>
  </cols>
  <sheetData>
    <row r="1" spans="1:36" ht="135.4" customHeight="1" x14ac:dyDescent="0.35">
      <c r="A1" s="19" t="s">
        <v>12</v>
      </c>
      <c r="B1" s="19" t="str">
        <f>'Form responses 1'!A1</f>
        <v>Timestamp</v>
      </c>
      <c r="C1" s="20" t="str">
        <f>'Form responses 1'!B1</f>
        <v>Email address</v>
      </c>
      <c r="D1" s="20" t="str">
        <f>'Form responses 1'!C1</f>
        <v>Surname and Name</v>
      </c>
      <c r="E1" s="19" t="str">
        <f>'Form responses 1'!D1</f>
        <v>Matricula number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L1" s="20" t="str">
        <f>'Form responses 1'!E1</f>
        <v>1) The absorption coefficient of a surface is 0.5+F/15. If the sound pressure of the incident wave was equal to 1+E/3 Pa, what is the sound pressure of the reflected wave?</v>
      </c>
      <c r="M1" s="19" t="s">
        <v>9</v>
      </c>
      <c r="N1" s="21" t="s">
        <v>10</v>
      </c>
      <c r="O1" s="21" t="s">
        <v>11</v>
      </c>
      <c r="P1" s="20" t="str">
        <f>'Form responses 1'!F1</f>
        <v>2) In the case of the previous exercise, compute the reduction of the SPL caused by the reflection of the sound wave over the surface having an absorption coefficient α = 0.5+F/15.</v>
      </c>
      <c r="Q1" s="19" t="s">
        <v>9</v>
      </c>
      <c r="R1" s="21" t="s">
        <v>10</v>
      </c>
      <c r="S1" s="21" t="s">
        <v>11</v>
      </c>
      <c r="T1" s="20" t="str">
        <f>'Form responses 1'!G1</f>
        <v>3) A wall is characterized with a sound reduction index R = 40+F dB. The wall has a surface of 10+E m², and the receiving room as an equivalent absorption area A = 5+D/2 m². Compute the sound insulation D.</v>
      </c>
      <c r="U1" s="19" t="s">
        <v>9</v>
      </c>
      <c r="V1" s="21" t="s">
        <v>10</v>
      </c>
      <c r="W1" s="21" t="s">
        <v>11</v>
      </c>
      <c r="X1" s="20" t="str">
        <f>'Form responses 1'!H1</f>
        <v>4) Each train passing along a railway produces a SEL of 104+F dB(A) at the reference distance of 7.5m. Compute the Leq at a receiver located  at 50+E m from the axis of the track, knowing that in one hour there are 10+D train passages and ignoring the background noise.</v>
      </c>
      <c r="Y1" s="19" t="s">
        <v>9</v>
      </c>
      <c r="Z1" s="21" t="s">
        <v>10</v>
      </c>
      <c r="AA1" s="21" t="s">
        <v>11</v>
      </c>
      <c r="AB1" s="20" t="str">
        <f>'Form responses 1'!I1</f>
        <v xml:space="preserve">5) Find the power level Lw of a sound source placed outdoors over a reflecting plane, knowing that an average SPL = 80+F dB(A) has been measured over a surrounding cubical surface having a side of 5 m. </v>
      </c>
      <c r="AC1" s="19" t="s">
        <v>9</v>
      </c>
      <c r="AD1" s="21" t="s">
        <v>10</v>
      </c>
      <c r="AE1" s="21" t="s">
        <v>11</v>
      </c>
      <c r="AF1" s="20" t="str">
        <f>'Form responses 1'!J1</f>
        <v xml:space="preserve">6) Find the power level Lw of a sound source placed outdoors over a reflecting plane, knowing that an average SPL = 80+F dB(A) has been measured at a distance of 5 m from its center. </v>
      </c>
      <c r="AG1" s="19" t="s">
        <v>9</v>
      </c>
      <c r="AH1" s="21" t="s">
        <v>10</v>
      </c>
      <c r="AI1" s="21" t="s">
        <v>11</v>
      </c>
      <c r="AJ1" s="17" t="s">
        <v>15</v>
      </c>
    </row>
    <row r="2" spans="1:36" ht="15.75" customHeight="1" x14ac:dyDescent="0.35">
      <c r="A2" s="22">
        <v>1</v>
      </c>
      <c r="B2" s="23">
        <f>'Form responses 1'!A2</f>
        <v>44225.434708587964</v>
      </c>
      <c r="C2" s="24" t="str">
        <f>'Form responses 1'!B2</f>
        <v>alvaro.gomezcurto@studenti.unipr.it</v>
      </c>
      <c r="D2" s="24" t="str">
        <f>'Form responses 1'!C2</f>
        <v>Gómez Curto, Álvaro</v>
      </c>
      <c r="E2" s="27">
        <f>'Form responses 1'!D2</f>
        <v>320733</v>
      </c>
      <c r="F2" s="1">
        <f t="shared" ref="F2:F4" si="0">INT(E2/100000)</f>
        <v>3</v>
      </c>
      <c r="G2" s="1">
        <f t="shared" ref="G2:G4" si="1">INT((E2-F2*100000)/10000)</f>
        <v>2</v>
      </c>
      <c r="H2" s="1">
        <f t="shared" ref="H2:H4" si="2">INT((E2-F2*100000-G2*10000)/1000)</f>
        <v>0</v>
      </c>
      <c r="I2" s="1">
        <f t="shared" ref="I2:I4" si="3">INT((E2-F2*100000-G2*10000-H2*1000)/100)</f>
        <v>7</v>
      </c>
      <c r="J2" s="1">
        <f t="shared" ref="J2:J4" si="4">INT((E2-F2*100000-G2*10000-H2*1000-I2*100)/10)</f>
        <v>3</v>
      </c>
      <c r="K2" s="1">
        <f t="shared" ref="K2:K4" si="5">INT((E2-F2*100000-G2*10000-H2*1000-I2*100-J2*10))</f>
        <v>3</v>
      </c>
      <c r="L2" s="24" t="str">
        <f>'Form responses 1'!E2</f>
        <v>0.7 Pa</v>
      </c>
      <c r="M2" s="18">
        <f>(1+J2/3)*SQRT(1-(0.5+K2/15))</f>
        <v>1.0954451150103324</v>
      </c>
      <c r="N2" s="3" t="s">
        <v>28</v>
      </c>
      <c r="O2" s="4">
        <f>IF(L2="",0,IF(((ABS(VALUE(LEFT(L2,FIND(" ",L2)))-M2))/M2&lt;=0.1),5,0))</f>
        <v>0</v>
      </c>
      <c r="P2" s="24" t="str">
        <f>'Form responses 1'!F2</f>
        <v>90.88 Db</v>
      </c>
      <c r="Q2" s="2">
        <f>20*LOG10(M2/0.00002)</f>
        <v>94.771212547196626</v>
      </c>
      <c r="R2" s="3" t="s">
        <v>16</v>
      </c>
      <c r="S2" s="4">
        <f t="shared" ref="S2:S4" si="6">IF(P2="",0,IF(((ABS(VALUE(LEFT(P2,FIND(" ",P2)))-Q2))&lt;=0.5),5,0))</f>
        <v>0</v>
      </c>
      <c r="T2" s="24">
        <f>'Form responses 1'!G2</f>
        <v>0</v>
      </c>
      <c r="U2" s="2">
        <f>40+K2+10*LOG10((5+I2/2)/(10+J2))</f>
        <v>41.154755734074563</v>
      </c>
      <c r="V2" s="3" t="s">
        <v>16</v>
      </c>
      <c r="W2" s="4">
        <v>0</v>
      </c>
      <c r="X2" s="24" t="str">
        <f>'Form responses 1'!H2</f>
        <v>74.75 Db</v>
      </c>
      <c r="Y2" s="2">
        <f>104+K2+10*LOG10((10+I2)/3600)+10*LOG10(7.5/(50+J2))</f>
        <v>75.249318144018972</v>
      </c>
      <c r="Z2" s="3" t="s">
        <v>16</v>
      </c>
      <c r="AA2" s="4">
        <v>5</v>
      </c>
      <c r="AB2" s="24" t="str">
        <f>'Form responses 1'!I2</f>
        <v>143 W</v>
      </c>
      <c r="AC2" s="2">
        <f>80+K2+10*LOG10(125)</f>
        <v>103.96910013008056</v>
      </c>
      <c r="AD2" s="3" t="s">
        <v>13</v>
      </c>
      <c r="AE2" s="4">
        <f t="shared" ref="AE2:AE4" si="7">IF(AB2="",0,IF(((ABS(VALUE(LEFT(AB2,FIND(" ",AB2)))-AC2))&lt;=0.5),5,0))</f>
        <v>0</v>
      </c>
      <c r="AF2" s="24" t="str">
        <f>'Form responses 1'!J2</f>
        <v>128 W</v>
      </c>
      <c r="AG2" s="2">
        <f>80+K2+8+20*LOG10(5)</f>
        <v>104.97940008672037</v>
      </c>
      <c r="AH2" s="3" t="s">
        <v>13</v>
      </c>
      <c r="AI2" s="4">
        <f t="shared" ref="AI2:AI4" si="8">IF(AF2="",0,IF(((ABS(VALUE(LEFT(AF2,FIND(" ",AF2)))-AG2))&lt;=0.5),5,0))</f>
        <v>0</v>
      </c>
      <c r="AJ2" s="25">
        <f t="shared" ref="AJ2:AJ4" si="9">O2+S2+W2+AA2+AE2+AI2</f>
        <v>5</v>
      </c>
    </row>
    <row r="3" spans="1:36" ht="15.75" customHeight="1" x14ac:dyDescent="0.35">
      <c r="A3" s="22">
        <v>2</v>
      </c>
      <c r="B3" s="23">
        <f>'Form responses 1'!A3</f>
        <v>44225.435089224542</v>
      </c>
      <c r="C3" s="24" t="str">
        <f>'Form responses 1'!B3</f>
        <v>reinhardt.rading@studenti.unipr.it</v>
      </c>
      <c r="D3" s="24" t="str">
        <f>'Form responses 1'!C3</f>
        <v>Rading Reinhardt</v>
      </c>
      <c r="E3" s="27">
        <f>'Form responses 1'!D3</f>
        <v>301136</v>
      </c>
      <c r="F3" s="1">
        <f t="shared" ref="F3:F4" si="10">INT(E3/100000)</f>
        <v>3</v>
      </c>
      <c r="G3" s="1">
        <f t="shared" ref="G3:G4" si="11">INT((E3-F3*100000)/10000)</f>
        <v>0</v>
      </c>
      <c r="H3" s="1">
        <f t="shared" ref="H3:H4" si="12">INT((E3-F3*100000-G3*10000)/1000)</f>
        <v>1</v>
      </c>
      <c r="I3" s="1">
        <f t="shared" ref="I3:I4" si="13">INT((E3-F3*100000-G3*10000-H3*1000)/100)</f>
        <v>1</v>
      </c>
      <c r="J3" s="1">
        <f t="shared" ref="J3:J4" si="14">INT((E3-F3*100000-G3*10000-H3*1000-I3*100)/10)</f>
        <v>3</v>
      </c>
      <c r="K3" s="1">
        <f t="shared" ref="K3:K4" si="15">INT((E3-F3*100000-G3*10000-H3*1000-I3*100-J3*10))</f>
        <v>6</v>
      </c>
      <c r="L3" s="24" t="str">
        <f>'Form responses 1'!E3</f>
        <v>0.632 pa</v>
      </c>
      <c r="M3" s="18">
        <f t="shared" ref="M3:M4" si="16">(1+J3/3)*SQRT(1-(0.5+K3/15))</f>
        <v>0.63245553203367577</v>
      </c>
      <c r="N3" s="3" t="s">
        <v>28</v>
      </c>
      <c r="O3" s="4">
        <f t="shared" ref="O3:O4" si="17">IF(L3="",0,IF(((ABS(VALUE(LEFT(L3,FIND(" ",L3)))-M3))/M3&lt;=0.1),5,0))</f>
        <v>5</v>
      </c>
      <c r="P3" s="24" t="str">
        <f>'Form responses 1'!F3</f>
        <v>95 dB (A)</v>
      </c>
      <c r="Q3" s="2">
        <f>20*LOG10(M3/0.00002)</f>
        <v>90</v>
      </c>
      <c r="R3" s="3" t="s">
        <v>16</v>
      </c>
      <c r="S3" s="4">
        <f t="shared" ref="S3:S4" si="18">IF(P3="",0,IF(((ABS(VALUE(LEFT(P3,FIND(" ",P3)))-Q3))&lt;=0.5),5,0))</f>
        <v>0</v>
      </c>
      <c r="T3" s="24" t="str">
        <f>'Form responses 1'!G3</f>
        <v>42.26 dB</v>
      </c>
      <c r="U3" s="2">
        <f t="shared" ref="U3:U4" si="19">40+K3+10*LOG10((5+I3/2)/(10+J3))</f>
        <v>42.264193371874072</v>
      </c>
      <c r="V3" s="3" t="s">
        <v>16</v>
      </c>
      <c r="W3" s="4">
        <f t="shared" ref="W3:W4" si="20">IF(T3="",0,IF(((ABS(VALUE(LEFT(T3,FIND(" ",T3)))-U3))&lt;=0.5),5,0))</f>
        <v>5</v>
      </c>
      <c r="X3" s="24" t="str">
        <f>'Form responses 1'!H3</f>
        <v>76.36 dB(A)</v>
      </c>
      <c r="Y3" s="2">
        <f t="shared" ref="Y3:Y4" si="21">104+K3+10*LOG10((10+I3)/3600)+10*LOG10(7.5/(50+J3))</f>
        <v>76.358755781818488</v>
      </c>
      <c r="Z3" s="3" t="s">
        <v>16</v>
      </c>
      <c r="AA3" s="4">
        <v>5</v>
      </c>
      <c r="AB3" s="24" t="str">
        <f>'Form responses 1'!I3</f>
        <v>98.73 dB(A)</v>
      </c>
      <c r="AC3" s="2">
        <f t="shared" ref="AC3:AC4" si="22">80+K3+10*LOG10(125)</f>
        <v>106.96910013008056</v>
      </c>
      <c r="AD3" s="3" t="s">
        <v>13</v>
      </c>
      <c r="AE3" s="4">
        <f t="shared" ref="AE3:AE4" si="23">IF(AB3="",0,IF(((ABS(VALUE(LEFT(AB3,FIND(" ",AB3)))-AC3))&lt;=0.5),5,0))</f>
        <v>0</v>
      </c>
      <c r="AF3" s="24" t="str">
        <f>'Form responses 1'!J3</f>
        <v>96 dB(A)</v>
      </c>
      <c r="AG3" s="2">
        <f t="shared" ref="AG3:AG4" si="24">80+K3+8+20*LOG10(5)</f>
        <v>107.97940008672037</v>
      </c>
      <c r="AH3" s="3" t="s">
        <v>13</v>
      </c>
      <c r="AI3" s="4">
        <f t="shared" ref="AI3:AI4" si="25">IF(AF3="",0,IF(((ABS(VALUE(LEFT(AF3,FIND(" ",AF3)))-AG3))&lt;=0.5),5,0))</f>
        <v>0</v>
      </c>
      <c r="AJ3" s="25">
        <f t="shared" ref="AJ3:AJ4" si="26">O3+S3+W3+AA3+AE3+AI3</f>
        <v>15</v>
      </c>
    </row>
    <row r="4" spans="1:36" ht="15.75" customHeight="1" x14ac:dyDescent="0.35">
      <c r="A4" s="22">
        <v>3</v>
      </c>
      <c r="B4" s="23">
        <f>'Form responses 1'!A4</f>
        <v>44225.435923206023</v>
      </c>
      <c r="C4" s="24" t="str">
        <f>'Form responses 1'!B4</f>
        <v>hiba.rhmani@studenti.unipr.it</v>
      </c>
      <c r="D4" s="24" t="str">
        <f>'Form responses 1'!C4</f>
        <v>hiba rhmani</v>
      </c>
      <c r="E4" s="27">
        <f>'Form responses 1'!D4</f>
        <v>325374</v>
      </c>
      <c r="F4" s="1">
        <f t="shared" si="10"/>
        <v>3</v>
      </c>
      <c r="G4" s="1">
        <f t="shared" si="11"/>
        <v>2</v>
      </c>
      <c r="H4" s="1">
        <f t="shared" si="12"/>
        <v>5</v>
      </c>
      <c r="I4" s="1">
        <f t="shared" si="13"/>
        <v>3</v>
      </c>
      <c r="J4" s="1">
        <f t="shared" si="14"/>
        <v>7</v>
      </c>
      <c r="K4" s="1">
        <f t="shared" si="15"/>
        <v>4</v>
      </c>
      <c r="L4" s="24" t="str">
        <f>'Form responses 1'!E4</f>
        <v>2.55 Pa</v>
      </c>
      <c r="M4" s="18">
        <f t="shared" si="16"/>
        <v>1.6101529717988268</v>
      </c>
      <c r="N4" s="3" t="s">
        <v>28</v>
      </c>
      <c r="O4" s="4">
        <f t="shared" si="17"/>
        <v>0</v>
      </c>
      <c r="P4" s="24">
        <f>'Form responses 1'!F4</f>
        <v>0</v>
      </c>
      <c r="Q4" s="2">
        <f>20*LOG10(M4/0.00002)</f>
        <v>98.116742845273066</v>
      </c>
      <c r="R4" s="3" t="s">
        <v>16</v>
      </c>
      <c r="S4" s="4">
        <v>0</v>
      </c>
      <c r="T4" s="24" t="str">
        <f>'Form responses 1'!G4</f>
        <v>39.82 dB</v>
      </c>
      <c r="U4" s="2">
        <f t="shared" si="19"/>
        <v>39.824644352645819</v>
      </c>
      <c r="V4" s="3" t="s">
        <v>16</v>
      </c>
      <c r="W4" s="4">
        <f t="shared" si="20"/>
        <v>5</v>
      </c>
      <c r="X4" s="24">
        <f>'Form responses 1'!H4</f>
        <v>0</v>
      </c>
      <c r="Y4" s="2">
        <f t="shared" si="21"/>
        <v>74.768272592587579</v>
      </c>
      <c r="Z4" s="3" t="s">
        <v>16</v>
      </c>
      <c r="AA4" s="4">
        <f t="shared" ref="AA3:AA4" si="27">IF(X4="",0,IF(ABS(X4-Y4)&lt;=0.1,5,0))</f>
        <v>0</v>
      </c>
      <c r="AB4" s="24" t="str">
        <f>'Form responses 1'!I4</f>
        <v>95.7 dB</v>
      </c>
      <c r="AC4" s="2">
        <f t="shared" si="22"/>
        <v>104.96910013008056</v>
      </c>
      <c r="AD4" s="3" t="s">
        <v>13</v>
      </c>
      <c r="AE4" s="4">
        <f t="shared" si="23"/>
        <v>0</v>
      </c>
      <c r="AF4" s="24" t="str">
        <f>'Form responses 1'!J4</f>
        <v>118.97 dB</v>
      </c>
      <c r="AG4" s="2">
        <f t="shared" si="24"/>
        <v>105.97940008672037</v>
      </c>
      <c r="AH4" s="3" t="s">
        <v>13</v>
      </c>
      <c r="AI4" s="4">
        <f t="shared" si="25"/>
        <v>0</v>
      </c>
      <c r="AJ4" s="25">
        <f t="shared" si="26"/>
        <v>5</v>
      </c>
    </row>
  </sheetData>
  <phoneticPr fontId="7" type="noConversion"/>
  <conditionalFormatting sqref="S2">
    <cfRule type="cellIs" dxfId="47" priority="62" operator="lessThan">
      <formula>0</formula>
    </cfRule>
  </conditionalFormatting>
  <conditionalFormatting sqref="S2">
    <cfRule type="containsText" dxfId="46" priority="63" operator="containsText" text=",">
      <formula>NOT(ISERROR(SEARCH(",",S2)))</formula>
    </cfRule>
  </conditionalFormatting>
  <conditionalFormatting sqref="S2">
    <cfRule type="cellIs" dxfId="45" priority="61" operator="equal">
      <formula>0</formula>
    </cfRule>
  </conditionalFormatting>
  <conditionalFormatting sqref="W2">
    <cfRule type="cellIs" dxfId="44" priority="59" operator="lessThan">
      <formula>0</formula>
    </cfRule>
  </conditionalFormatting>
  <conditionalFormatting sqref="W2">
    <cfRule type="containsText" dxfId="43" priority="60" operator="containsText" text=",">
      <formula>NOT(ISERROR(SEARCH(",",W2)))</formula>
    </cfRule>
  </conditionalFormatting>
  <conditionalFormatting sqref="W2">
    <cfRule type="cellIs" dxfId="42" priority="58" operator="equal">
      <formula>0</formula>
    </cfRule>
  </conditionalFormatting>
  <conditionalFormatting sqref="AA2">
    <cfRule type="cellIs" dxfId="41" priority="56" operator="lessThan">
      <formula>0</formula>
    </cfRule>
  </conditionalFormatting>
  <conditionalFormatting sqref="AA2">
    <cfRule type="containsText" dxfId="40" priority="57" operator="containsText" text=",">
      <formula>NOT(ISERROR(SEARCH(",",AA2)))</formula>
    </cfRule>
  </conditionalFormatting>
  <conditionalFormatting sqref="AA2">
    <cfRule type="cellIs" dxfId="39" priority="55" operator="equal">
      <formula>0</formula>
    </cfRule>
  </conditionalFormatting>
  <conditionalFormatting sqref="AE2">
    <cfRule type="cellIs" dxfId="38" priority="53" operator="lessThan">
      <formula>0</formula>
    </cfRule>
  </conditionalFormatting>
  <conditionalFormatting sqref="AE2">
    <cfRule type="containsText" dxfId="37" priority="54" operator="containsText" text=",">
      <formula>NOT(ISERROR(SEARCH(",",AE2)))</formula>
    </cfRule>
  </conditionalFormatting>
  <conditionalFormatting sqref="AE2">
    <cfRule type="cellIs" dxfId="36" priority="52" operator="equal">
      <formula>0</formula>
    </cfRule>
  </conditionalFormatting>
  <conditionalFormatting sqref="AI2">
    <cfRule type="cellIs" dxfId="35" priority="50" operator="lessThan">
      <formula>0</formula>
    </cfRule>
  </conditionalFormatting>
  <conditionalFormatting sqref="AI2">
    <cfRule type="containsText" dxfId="34" priority="51" operator="containsText" text=",">
      <formula>NOT(ISERROR(SEARCH(",",AI2)))</formula>
    </cfRule>
  </conditionalFormatting>
  <conditionalFormatting sqref="AI2">
    <cfRule type="cellIs" dxfId="33" priority="49" operator="equal">
      <formula>0</formula>
    </cfRule>
  </conditionalFormatting>
  <conditionalFormatting sqref="S3:S4">
    <cfRule type="cellIs" dxfId="29" priority="26" operator="lessThan">
      <formula>0</formula>
    </cfRule>
  </conditionalFormatting>
  <conditionalFormatting sqref="S3:S4">
    <cfRule type="containsText" dxfId="28" priority="27" operator="containsText" text=",">
      <formula>NOT(ISERROR(SEARCH(",",S3)))</formula>
    </cfRule>
  </conditionalFormatting>
  <conditionalFormatting sqref="S3:S4">
    <cfRule type="cellIs" dxfId="27" priority="25" operator="equal">
      <formula>0</formula>
    </cfRule>
  </conditionalFormatting>
  <conditionalFormatting sqref="W3:W4">
    <cfRule type="cellIs" dxfId="26" priority="23" operator="lessThan">
      <formula>0</formula>
    </cfRule>
  </conditionalFormatting>
  <conditionalFormatting sqref="W3:W4">
    <cfRule type="containsText" dxfId="25" priority="24" operator="containsText" text=",">
      <formula>NOT(ISERROR(SEARCH(",",W3)))</formula>
    </cfRule>
  </conditionalFormatting>
  <conditionalFormatting sqref="W3:W4">
    <cfRule type="cellIs" dxfId="24" priority="22" operator="equal">
      <formula>0</formula>
    </cfRule>
  </conditionalFormatting>
  <conditionalFormatting sqref="AA3:AA4">
    <cfRule type="cellIs" dxfId="23" priority="20" operator="lessThan">
      <formula>0</formula>
    </cfRule>
  </conditionalFormatting>
  <conditionalFormatting sqref="AA3:AA4">
    <cfRule type="containsText" dxfId="22" priority="21" operator="containsText" text=",">
      <formula>NOT(ISERROR(SEARCH(",",AA3)))</formula>
    </cfRule>
  </conditionalFormatting>
  <conditionalFormatting sqref="AA3:AA4">
    <cfRule type="cellIs" dxfId="21" priority="19" operator="equal">
      <formula>0</formula>
    </cfRule>
  </conditionalFormatting>
  <conditionalFormatting sqref="AE3:AE4">
    <cfRule type="cellIs" dxfId="20" priority="17" operator="lessThan">
      <formula>0</formula>
    </cfRule>
  </conditionalFormatting>
  <conditionalFormatting sqref="AE3:AE4">
    <cfRule type="containsText" dxfId="19" priority="18" operator="containsText" text=",">
      <formula>NOT(ISERROR(SEARCH(",",AE3)))</formula>
    </cfRule>
  </conditionalFormatting>
  <conditionalFormatting sqref="AE3:AE4">
    <cfRule type="cellIs" dxfId="18" priority="16" operator="equal">
      <formula>0</formula>
    </cfRule>
  </conditionalFormatting>
  <conditionalFormatting sqref="AI3:AI4">
    <cfRule type="cellIs" dxfId="17" priority="14" operator="lessThan">
      <formula>0</formula>
    </cfRule>
  </conditionalFormatting>
  <conditionalFormatting sqref="AI3:AI4">
    <cfRule type="containsText" dxfId="16" priority="15" operator="containsText" text=",">
      <formula>NOT(ISERROR(SEARCH(",",AI3)))</formula>
    </cfRule>
  </conditionalFormatting>
  <conditionalFormatting sqref="AI3:AI4">
    <cfRule type="cellIs" dxfId="15" priority="13" operator="equal">
      <formula>0</formula>
    </cfRule>
  </conditionalFormatting>
  <conditionalFormatting sqref="O2">
    <cfRule type="cellIs" dxfId="5" priority="5" operator="lessThan">
      <formula>0</formula>
    </cfRule>
  </conditionalFormatting>
  <conditionalFormatting sqref="O2">
    <cfRule type="containsText" dxfId="4" priority="6" operator="containsText" text=",">
      <formula>NOT(ISERROR(SEARCH(",",O2)))</formula>
    </cfRule>
  </conditionalFormatting>
  <conditionalFormatting sqref="O2">
    <cfRule type="cellIs" dxfId="3" priority="4" operator="equal">
      <formula>0</formula>
    </cfRule>
  </conditionalFormatting>
  <conditionalFormatting sqref="O3:O4">
    <cfRule type="cellIs" dxfId="2" priority="2" operator="lessThan">
      <formula>0</formula>
    </cfRule>
  </conditionalFormatting>
  <conditionalFormatting sqref="O3:O4">
    <cfRule type="containsText" dxfId="1" priority="3" operator="containsText" text=",">
      <formula>NOT(ISERROR(SEARCH(",",O3)))</formula>
    </cfRule>
  </conditionalFormatting>
  <conditionalFormatting sqref="O3:O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938A-195D-4672-AA6B-5754F48640A4}">
  <dimension ref="A1:P25"/>
  <sheetViews>
    <sheetView workbookViewId="0">
      <selection activeCell="A24" sqref="A24:K24"/>
    </sheetView>
  </sheetViews>
  <sheetFormatPr defaultRowHeight="12.75" x14ac:dyDescent="0.35"/>
  <sheetData>
    <row r="1" spans="1:14" ht="13.15" x14ac:dyDescent="0.4">
      <c r="A1" s="5" t="s">
        <v>18</v>
      </c>
      <c r="B1" s="6"/>
      <c r="C1" s="6"/>
      <c r="D1" s="6"/>
      <c r="E1" s="6"/>
      <c r="F1" s="6"/>
      <c r="G1" s="6"/>
    </row>
    <row r="2" spans="1:14" ht="13.15" x14ac:dyDescent="0.4">
      <c r="A2" s="5"/>
      <c r="B2" s="6"/>
      <c r="C2" s="6"/>
      <c r="D2" s="6"/>
      <c r="E2" s="6"/>
      <c r="F2" s="6"/>
    </row>
    <row r="3" spans="1:14" ht="13.15" thickBot="1" x14ac:dyDescent="0.4">
      <c r="A3" s="6" t="s">
        <v>2</v>
      </c>
    </row>
    <row r="4" spans="1:14" x14ac:dyDescent="0.3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</row>
    <row r="5" spans="1:14" ht="13.15" thickBot="1" x14ac:dyDescent="0.4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2">
        <v>6</v>
      </c>
    </row>
    <row r="8" spans="1:14" ht="13.15" thickBot="1" x14ac:dyDescent="0.4">
      <c r="A8" t="s">
        <v>19</v>
      </c>
    </row>
    <row r="9" spans="1:14" ht="13.9" thickTop="1" thickBot="1" x14ac:dyDescent="0.45">
      <c r="A9" t="s">
        <v>25</v>
      </c>
      <c r="B9">
        <f>0.5+F5/15</f>
        <v>0.9</v>
      </c>
      <c r="C9" t="s">
        <v>26</v>
      </c>
      <c r="D9">
        <f>1-B9</f>
        <v>9.9999999999999978E-2</v>
      </c>
      <c r="E9" t="s">
        <v>27</v>
      </c>
      <c r="F9">
        <f>1+E5/3</f>
        <v>2.666666666666667</v>
      </c>
      <c r="G9" t="s">
        <v>28</v>
      </c>
      <c r="H9" s="14" t="s">
        <v>29</v>
      </c>
      <c r="I9" s="14"/>
      <c r="J9" s="29">
        <f>F9*SQRT(D9)</f>
        <v>0.84327404271156781</v>
      </c>
      <c r="K9" s="16" t="s">
        <v>28</v>
      </c>
    </row>
    <row r="10" spans="1:14" ht="13.15" thickTop="1" x14ac:dyDescent="0.35"/>
    <row r="11" spans="1:14" ht="13.15" thickBot="1" x14ac:dyDescent="0.4">
      <c r="A11" t="s">
        <v>20</v>
      </c>
    </row>
    <row r="12" spans="1:14" ht="13.9" thickTop="1" thickBot="1" x14ac:dyDescent="0.45">
      <c r="G12" s="14" t="s">
        <v>30</v>
      </c>
      <c r="J12" s="28">
        <f>10*LOG10(1-Alfa)</f>
        <v>-10</v>
      </c>
      <c r="K12" s="16" t="s">
        <v>16</v>
      </c>
    </row>
    <row r="13" spans="1:14" ht="13.15" thickTop="1" x14ac:dyDescent="0.35"/>
    <row r="14" spans="1:14" ht="13.15" thickBot="1" x14ac:dyDescent="0.4">
      <c r="A14" t="s">
        <v>21</v>
      </c>
    </row>
    <row r="15" spans="1:14" ht="13.9" thickTop="1" thickBot="1" x14ac:dyDescent="0.45">
      <c r="A15" s="13" t="s">
        <v>31</v>
      </c>
      <c r="B15">
        <f>40+F5</f>
        <v>46</v>
      </c>
      <c r="C15" s="13" t="s">
        <v>16</v>
      </c>
      <c r="D15" s="13" t="s">
        <v>32</v>
      </c>
      <c r="E15">
        <f>10+E5</f>
        <v>15</v>
      </c>
      <c r="F15" s="13" t="s">
        <v>33</v>
      </c>
      <c r="G15" s="13" t="s">
        <v>34</v>
      </c>
      <c r="H15">
        <f>5+D5/2</f>
        <v>7</v>
      </c>
      <c r="I15" s="13" t="s">
        <v>33</v>
      </c>
      <c r="J15" s="14" t="s">
        <v>35</v>
      </c>
      <c r="M15" s="15">
        <f>B15+10*LOG10(H15/E15)</f>
        <v>42.690067809585756</v>
      </c>
      <c r="N15" s="16" t="s">
        <v>16</v>
      </c>
    </row>
    <row r="16" spans="1:14" ht="13.15" thickTop="1" x14ac:dyDescent="0.35"/>
    <row r="17" spans="1:16" ht="13.15" thickBot="1" x14ac:dyDescent="0.4">
      <c r="A17" t="s">
        <v>22</v>
      </c>
    </row>
    <row r="18" spans="1:16" ht="13.9" thickTop="1" thickBot="1" x14ac:dyDescent="0.45">
      <c r="A18" s="13" t="s">
        <v>36</v>
      </c>
      <c r="B18">
        <f>104+F5</f>
        <v>110</v>
      </c>
      <c r="C18" s="13" t="s">
        <v>16</v>
      </c>
      <c r="D18" s="13" t="s">
        <v>37</v>
      </c>
      <c r="E18">
        <f>50+E5</f>
        <v>55</v>
      </c>
      <c r="F18" s="13" t="s">
        <v>38</v>
      </c>
      <c r="G18" s="13" t="s">
        <v>39</v>
      </c>
      <c r="H18">
        <f>10+D5</f>
        <v>14</v>
      </c>
      <c r="I18" s="13" t="s">
        <v>40</v>
      </c>
      <c r="J18" s="14" t="s">
        <v>44</v>
      </c>
      <c r="O18" s="15">
        <f>B18+10*LOG10(H18/3600)+10*LOG10(7.5/d)</f>
        <v>77.245241088084072</v>
      </c>
      <c r="P18" s="16" t="s">
        <v>13</v>
      </c>
    </row>
    <row r="19" spans="1:16" ht="13.15" thickTop="1" x14ac:dyDescent="0.35"/>
    <row r="20" spans="1:16" ht="13.15" thickBot="1" x14ac:dyDescent="0.4">
      <c r="A20" t="s">
        <v>23</v>
      </c>
    </row>
    <row r="21" spans="1:16" ht="13.9" thickTop="1" thickBot="1" x14ac:dyDescent="0.45">
      <c r="A21" s="13" t="s">
        <v>42</v>
      </c>
      <c r="B21">
        <f>80+F5</f>
        <v>86</v>
      </c>
      <c r="C21" s="13" t="s">
        <v>13</v>
      </c>
      <c r="D21" s="13" t="s">
        <v>32</v>
      </c>
      <c r="E21">
        <f>5*5*5</f>
        <v>125</v>
      </c>
      <c r="F21" s="13" t="s">
        <v>33</v>
      </c>
      <c r="G21" s="14" t="s">
        <v>41</v>
      </c>
      <c r="J21" s="15">
        <f>B21+10*LOG10(E21)</f>
        <v>106.96910013008056</v>
      </c>
      <c r="K21" s="16" t="s">
        <v>13</v>
      </c>
    </row>
    <row r="22" spans="1:16" ht="13.15" thickTop="1" x14ac:dyDescent="0.35"/>
    <row r="23" spans="1:16" ht="13.15" thickBot="1" x14ac:dyDescent="0.4">
      <c r="A23" t="s">
        <v>24</v>
      </c>
    </row>
    <row r="24" spans="1:16" ht="13.9" thickTop="1" thickBot="1" x14ac:dyDescent="0.45">
      <c r="A24" s="13" t="s">
        <v>42</v>
      </c>
      <c r="B24">
        <f>80+F5</f>
        <v>86</v>
      </c>
      <c r="C24" s="13" t="s">
        <v>13</v>
      </c>
      <c r="D24" s="13" t="s">
        <v>26</v>
      </c>
      <c r="E24">
        <v>5</v>
      </c>
      <c r="F24" s="13" t="s">
        <v>38</v>
      </c>
      <c r="G24" s="14" t="s">
        <v>43</v>
      </c>
      <c r="J24" s="15">
        <f>B24+8+20*LOG10(E24)</f>
        <v>107.97940008672037</v>
      </c>
      <c r="K24" s="16" t="s">
        <v>13</v>
      </c>
    </row>
    <row r="25" spans="1:16" ht="13.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responses 1</vt:lpstr>
      <vt:lpstr>Scores</vt:lpstr>
      <vt:lpstr>Solution</vt:lpstr>
      <vt:lpstr>Alfa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2020-12-20T17:19:14Z</dcterms:created>
  <dcterms:modified xsi:type="dcterms:W3CDTF">2021-01-29T09:42:19Z</dcterms:modified>
</cp:coreProperties>
</file>