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rina\Corsi\Applied-Acoustics\Tests-2018\"/>
    </mc:Choice>
  </mc:AlternateContent>
  <bookViews>
    <workbookView xWindow="5850" yWindow="0" windowWidth="27630" windowHeight="12915"/>
  </bookViews>
  <sheets>
    <sheet name="Form Responses 1" sheetId="1" r:id="rId1"/>
    <sheet name="Solution" sheetId="2" r:id="rId2"/>
  </sheets>
  <definedNames>
    <definedName name="A">Solution!$G$40</definedName>
    <definedName name="AA">Solution!$E$3</definedName>
    <definedName name="BB">Solution!$G$3</definedName>
    <definedName name="CC">Solution!$I$3</definedName>
    <definedName name="DD">Solution!$K$3</definedName>
    <definedName name="EE">Solution!$M$3</definedName>
    <definedName name="FF">Solution!$O$3</definedName>
    <definedName name="Lw">Solution!$H$36</definedName>
  </definedNames>
  <calcPr calcId="162913"/>
</workbook>
</file>

<file path=xl/calcChain.xml><?xml version="1.0" encoding="utf-8"?>
<calcChain xmlns="http://schemas.openxmlformats.org/spreadsheetml/2006/main">
  <c r="AT3" i="1" l="1"/>
  <c r="AP3" i="1"/>
  <c r="AL3" i="1"/>
  <c r="AH3" i="1"/>
  <c r="AU3" i="1" l="1"/>
  <c r="AU4" i="1"/>
  <c r="AU5" i="1"/>
  <c r="AU6" i="1"/>
  <c r="AU7" i="1"/>
  <c r="AU8" i="1"/>
  <c r="AU9" i="1"/>
  <c r="AU10" i="1"/>
  <c r="AU11" i="1"/>
  <c r="AU12" i="1"/>
  <c r="AU13" i="1"/>
  <c r="AU14" i="1"/>
  <c r="AU15" i="1"/>
  <c r="AU16" i="1"/>
  <c r="AU17" i="1"/>
  <c r="AU18" i="1"/>
  <c r="AU19" i="1"/>
  <c r="AU2" i="1"/>
  <c r="AT19" i="1"/>
  <c r="AT18" i="1"/>
  <c r="AT17" i="1"/>
  <c r="AT16" i="1"/>
  <c r="AT15" i="1"/>
  <c r="AT14" i="1"/>
  <c r="AT13" i="1"/>
  <c r="AT12" i="1"/>
  <c r="AT11" i="1"/>
  <c r="AT10" i="1"/>
  <c r="AT9" i="1"/>
  <c r="AT8" i="1"/>
  <c r="AT7" i="1"/>
  <c r="AT6" i="1"/>
  <c r="AT4" i="1"/>
  <c r="AT2" i="1"/>
  <c r="AT5" i="1"/>
  <c r="AR3" i="1"/>
  <c r="AR4" i="1"/>
  <c r="AR5" i="1"/>
  <c r="AR6" i="1"/>
  <c r="AR7" i="1"/>
  <c r="AR8" i="1"/>
  <c r="AR9" i="1"/>
  <c r="AR10" i="1"/>
  <c r="AR11" i="1"/>
  <c r="AR12" i="1"/>
  <c r="AR13" i="1"/>
  <c r="AR14" i="1"/>
  <c r="AR15" i="1"/>
  <c r="AR16" i="1"/>
  <c r="AR17" i="1"/>
  <c r="AR18" i="1"/>
  <c r="AR19" i="1"/>
  <c r="AR2" i="1"/>
  <c r="AN19" i="1"/>
  <c r="AN18" i="1"/>
  <c r="AN17" i="1"/>
  <c r="AN16" i="1"/>
  <c r="AN15" i="1"/>
  <c r="AN14" i="1"/>
  <c r="AN13" i="1"/>
  <c r="AN12" i="1"/>
  <c r="AN11" i="1"/>
  <c r="AP11" i="1" s="1"/>
  <c r="AN10" i="1"/>
  <c r="AN9" i="1"/>
  <c r="AN8" i="1"/>
  <c r="AP8" i="1" s="1"/>
  <c r="AN7" i="1"/>
  <c r="AN6" i="1"/>
  <c r="AN5" i="1"/>
  <c r="AN4" i="1"/>
  <c r="AN3" i="1"/>
  <c r="AN2" i="1"/>
  <c r="AP19" i="1"/>
  <c r="AP18" i="1"/>
  <c r="AP17" i="1"/>
  <c r="AP16" i="1"/>
  <c r="AP15" i="1"/>
  <c r="AP14" i="1"/>
  <c r="AP13" i="1"/>
  <c r="AP10" i="1"/>
  <c r="AP9" i="1"/>
  <c r="AP7" i="1"/>
  <c r="AP5" i="1"/>
  <c r="AP4" i="1"/>
  <c r="AP2" i="1"/>
  <c r="AJ3" i="1"/>
  <c r="AJ4" i="1"/>
  <c r="AL4" i="1" s="1"/>
  <c r="AJ5" i="1"/>
  <c r="AL5" i="1"/>
  <c r="AJ6" i="1"/>
  <c r="AJ7" i="1"/>
  <c r="AL7" i="1" s="1"/>
  <c r="AJ8" i="1"/>
  <c r="AL8" i="1"/>
  <c r="AJ9" i="1"/>
  <c r="AL9" i="1"/>
  <c r="AJ10" i="1"/>
  <c r="AL10" i="1"/>
  <c r="AJ11" i="1"/>
  <c r="AL11" i="1"/>
  <c r="AJ12" i="1"/>
  <c r="AJ13" i="1"/>
  <c r="AL13" i="1"/>
  <c r="AJ14" i="1"/>
  <c r="AJ15" i="1"/>
  <c r="AL15" i="1"/>
  <c r="AJ16" i="1"/>
  <c r="AL16" i="1"/>
  <c r="AJ17" i="1"/>
  <c r="AL17" i="1"/>
  <c r="AJ18" i="1"/>
  <c r="AL18" i="1"/>
  <c r="AJ19" i="1"/>
  <c r="AL19" i="1" s="1"/>
  <c r="AJ2" i="1"/>
  <c r="AL2" i="1" l="1"/>
  <c r="AF19" i="1"/>
  <c r="AH19" i="1" s="1"/>
  <c r="AH18" i="1"/>
  <c r="AF18" i="1"/>
  <c r="AF17" i="1"/>
  <c r="AH17" i="1" s="1"/>
  <c r="AF16" i="1"/>
  <c r="AH16" i="1" s="1"/>
  <c r="AH15" i="1"/>
  <c r="AF15" i="1"/>
  <c r="AH14" i="1"/>
  <c r="AF14" i="1"/>
  <c r="AH13" i="1"/>
  <c r="AF13" i="1"/>
  <c r="AF12" i="1"/>
  <c r="AF11" i="1"/>
  <c r="AH11" i="1" s="1"/>
  <c r="AF10" i="1"/>
  <c r="AH10" i="1" s="1"/>
  <c r="AH9" i="1"/>
  <c r="AF9" i="1"/>
  <c r="AF8" i="1"/>
  <c r="AH8" i="1" s="1"/>
  <c r="AF7" i="1"/>
  <c r="AH7" i="1" s="1"/>
  <c r="AF6" i="1"/>
  <c r="AF5" i="1"/>
  <c r="AH5" i="1" s="1"/>
  <c r="AH4" i="1"/>
  <c r="AF4" i="1"/>
  <c r="AF3" i="1"/>
  <c r="AF2" i="1"/>
  <c r="AH2" i="1" s="1"/>
  <c r="AD19" i="1"/>
  <c r="AC19" i="1"/>
  <c r="AB19" i="1"/>
  <c r="AA19" i="1"/>
  <c r="Z19" i="1"/>
  <c r="Y19" i="1"/>
  <c r="AD18" i="1"/>
  <c r="AC18" i="1"/>
  <c r="AB18" i="1"/>
  <c r="AA18" i="1"/>
  <c r="Z18" i="1"/>
  <c r="Y18" i="1"/>
  <c r="AD17" i="1"/>
  <c r="AC17" i="1"/>
  <c r="AB17" i="1"/>
  <c r="AA17" i="1"/>
  <c r="Z17" i="1"/>
  <c r="Y17" i="1"/>
  <c r="AD16" i="1"/>
  <c r="AC16" i="1"/>
  <c r="AB16" i="1"/>
  <c r="AA16" i="1"/>
  <c r="Z16" i="1"/>
  <c r="Y16" i="1"/>
  <c r="AD15" i="1"/>
  <c r="AC15" i="1"/>
  <c r="AB15" i="1"/>
  <c r="AA15" i="1"/>
  <c r="Z15" i="1"/>
  <c r="Y15" i="1"/>
  <c r="AD14" i="1"/>
  <c r="AC14" i="1"/>
  <c r="AB14" i="1"/>
  <c r="AA14" i="1"/>
  <c r="Z14" i="1"/>
  <c r="Y14" i="1"/>
  <c r="AD13" i="1"/>
  <c r="AC13" i="1"/>
  <c r="AB13" i="1"/>
  <c r="AA13" i="1"/>
  <c r="Z13" i="1"/>
  <c r="Y13" i="1"/>
  <c r="AD12" i="1"/>
  <c r="AC12" i="1"/>
  <c r="AB12" i="1"/>
  <c r="AA12" i="1"/>
  <c r="Z12" i="1"/>
  <c r="Y12" i="1"/>
  <c r="AD11" i="1"/>
  <c r="AC11" i="1"/>
  <c r="AB11" i="1"/>
  <c r="AA11" i="1"/>
  <c r="Z11" i="1"/>
  <c r="Y11" i="1"/>
  <c r="AD10" i="1"/>
  <c r="AC10" i="1"/>
  <c r="AB10" i="1"/>
  <c r="AA10" i="1"/>
  <c r="Z10" i="1"/>
  <c r="Y10" i="1"/>
  <c r="AD9" i="1"/>
  <c r="AC9" i="1"/>
  <c r="AB9" i="1"/>
  <c r="AA9" i="1"/>
  <c r="Z9" i="1"/>
  <c r="Y9" i="1"/>
  <c r="AD8" i="1"/>
  <c r="AC8" i="1"/>
  <c r="AB8" i="1"/>
  <c r="AA8" i="1"/>
  <c r="Z8" i="1"/>
  <c r="Y8" i="1"/>
  <c r="AD7" i="1"/>
  <c r="AC7" i="1"/>
  <c r="AB7" i="1"/>
  <c r="AA7" i="1"/>
  <c r="Z7" i="1"/>
  <c r="Y7" i="1"/>
  <c r="AD6" i="1"/>
  <c r="AC6" i="1"/>
  <c r="AB6" i="1"/>
  <c r="AA6" i="1"/>
  <c r="Z6" i="1"/>
  <c r="Y6" i="1"/>
  <c r="AD5" i="1"/>
  <c r="AC5" i="1"/>
  <c r="AB5" i="1"/>
  <c r="AA5" i="1"/>
  <c r="Z5" i="1"/>
  <c r="Y5" i="1"/>
  <c r="AD4" i="1"/>
  <c r="AC4" i="1"/>
  <c r="AB4" i="1"/>
  <c r="AA4" i="1"/>
  <c r="Z4" i="1"/>
  <c r="Y4" i="1"/>
  <c r="AD3" i="1"/>
  <c r="AC3" i="1"/>
  <c r="AB3" i="1"/>
  <c r="AA3" i="1"/>
  <c r="Z3" i="1"/>
  <c r="Y3" i="1"/>
  <c r="AD2" i="1"/>
  <c r="AC2" i="1"/>
  <c r="U19" i="1"/>
  <c r="U18" i="1"/>
  <c r="U17" i="1"/>
  <c r="U16" i="1"/>
  <c r="U15" i="1"/>
  <c r="U14" i="1"/>
  <c r="U13" i="1"/>
  <c r="U12" i="1"/>
  <c r="U11" i="1"/>
  <c r="U10" i="1"/>
  <c r="U9" i="1"/>
  <c r="U8" i="1"/>
  <c r="U7" i="1"/>
  <c r="U6" i="1"/>
  <c r="U5" i="1"/>
  <c r="U4" i="1"/>
  <c r="U3" i="1"/>
  <c r="U2" i="1"/>
  <c r="AB2" i="1"/>
  <c r="AA2" i="1"/>
  <c r="Z2" i="1"/>
  <c r="Y2" i="1"/>
  <c r="W19" i="1"/>
  <c r="V19" i="1"/>
  <c r="T19" i="1"/>
  <c r="S19" i="1"/>
  <c r="R19" i="1"/>
  <c r="W18" i="1"/>
  <c r="V18" i="1"/>
  <c r="T18" i="1"/>
  <c r="S18" i="1"/>
  <c r="R18" i="1"/>
  <c r="W17" i="1"/>
  <c r="V17" i="1"/>
  <c r="T17" i="1"/>
  <c r="S17" i="1"/>
  <c r="R17" i="1"/>
  <c r="W16" i="1"/>
  <c r="V16" i="1"/>
  <c r="T16" i="1"/>
  <c r="S16" i="1"/>
  <c r="R16" i="1"/>
  <c r="W15" i="1"/>
  <c r="V15" i="1"/>
  <c r="T15" i="1"/>
  <c r="S15" i="1"/>
  <c r="R15" i="1"/>
  <c r="W14" i="1"/>
  <c r="V14" i="1"/>
  <c r="T14" i="1"/>
  <c r="S14" i="1"/>
  <c r="R14" i="1"/>
  <c r="W13" i="1"/>
  <c r="V13" i="1"/>
  <c r="T13" i="1"/>
  <c r="S13" i="1"/>
  <c r="R13" i="1"/>
  <c r="W12" i="1"/>
  <c r="V12" i="1"/>
  <c r="T12" i="1"/>
  <c r="S12" i="1"/>
  <c r="R12" i="1"/>
  <c r="W11" i="1"/>
  <c r="V11" i="1"/>
  <c r="T11" i="1"/>
  <c r="S11" i="1"/>
  <c r="R11" i="1"/>
  <c r="W10" i="1"/>
  <c r="V10" i="1"/>
  <c r="T10" i="1"/>
  <c r="S10" i="1"/>
  <c r="R10" i="1"/>
  <c r="W9" i="1"/>
  <c r="V9" i="1"/>
  <c r="T9" i="1"/>
  <c r="S9" i="1"/>
  <c r="R9" i="1"/>
  <c r="W8" i="1"/>
  <c r="V8" i="1"/>
  <c r="T8" i="1"/>
  <c r="S8" i="1"/>
  <c r="R8" i="1"/>
  <c r="W7" i="1"/>
  <c r="V7" i="1"/>
  <c r="T7" i="1"/>
  <c r="S7" i="1"/>
  <c r="R7" i="1"/>
  <c r="W6" i="1"/>
  <c r="V6" i="1"/>
  <c r="T6" i="1"/>
  <c r="S6" i="1"/>
  <c r="R6" i="1"/>
  <c r="W5" i="1"/>
  <c r="V5" i="1"/>
  <c r="T5" i="1"/>
  <c r="S5" i="1"/>
  <c r="R5" i="1"/>
  <c r="W4" i="1"/>
  <c r="V4" i="1"/>
  <c r="T4" i="1"/>
  <c r="S4" i="1"/>
  <c r="R4" i="1"/>
  <c r="W3" i="1"/>
  <c r="V3" i="1"/>
  <c r="T3" i="1"/>
  <c r="S3" i="1"/>
  <c r="R3" i="1"/>
  <c r="W2" i="1"/>
  <c r="V2" i="1"/>
  <c r="T2" i="1"/>
  <c r="S2" i="1"/>
  <c r="R2" i="1"/>
  <c r="F4" i="1" l="1"/>
  <c r="K4" i="1" s="1"/>
  <c r="G4" i="1"/>
  <c r="H4" i="1"/>
  <c r="I4" i="1"/>
  <c r="J4" i="1"/>
  <c r="F5" i="1"/>
  <c r="G5" i="1" s="1"/>
  <c r="F6" i="1"/>
  <c r="K6" i="1" s="1"/>
  <c r="G6" i="1"/>
  <c r="H6" i="1"/>
  <c r="I6" i="1"/>
  <c r="J6" i="1"/>
  <c r="F7" i="1"/>
  <c r="G7" i="1" s="1"/>
  <c r="F8" i="1"/>
  <c r="K8" i="1" s="1"/>
  <c r="G8" i="1"/>
  <c r="H8" i="1"/>
  <c r="I8" i="1"/>
  <c r="J8" i="1"/>
  <c r="F9" i="1"/>
  <c r="G9" i="1" s="1"/>
  <c r="F10" i="1"/>
  <c r="K10" i="1" s="1"/>
  <c r="G10" i="1"/>
  <c r="H10" i="1"/>
  <c r="I10" i="1"/>
  <c r="J10" i="1"/>
  <c r="F11" i="1"/>
  <c r="G11" i="1" s="1"/>
  <c r="F12" i="1"/>
  <c r="K12" i="1" s="1"/>
  <c r="G12" i="1"/>
  <c r="H12" i="1"/>
  <c r="I12" i="1"/>
  <c r="J12" i="1"/>
  <c r="F13" i="1"/>
  <c r="G13" i="1" s="1"/>
  <c r="F14" i="1"/>
  <c r="K14" i="1" s="1"/>
  <c r="G14" i="1"/>
  <c r="H14" i="1"/>
  <c r="I14" i="1"/>
  <c r="J14" i="1"/>
  <c r="F15" i="1"/>
  <c r="G15" i="1" s="1"/>
  <c r="F16" i="1"/>
  <c r="K16" i="1" s="1"/>
  <c r="G16" i="1"/>
  <c r="H16" i="1"/>
  <c r="I16" i="1"/>
  <c r="J16" i="1"/>
  <c r="F17" i="1"/>
  <c r="G17" i="1" s="1"/>
  <c r="F18" i="1"/>
  <c r="K18" i="1" s="1"/>
  <c r="G18" i="1"/>
  <c r="H18" i="1"/>
  <c r="I18" i="1"/>
  <c r="J18" i="1"/>
  <c r="F19" i="1"/>
  <c r="G19" i="1" s="1"/>
  <c r="F3" i="1"/>
  <c r="F2" i="1"/>
  <c r="I11" i="1" l="1"/>
  <c r="I9" i="1"/>
  <c r="J9" i="1" s="1"/>
  <c r="K9" i="1" s="1"/>
  <c r="H19" i="1"/>
  <c r="I19" i="1" s="1"/>
  <c r="H17" i="1"/>
  <c r="I17" i="1" s="1"/>
  <c r="H15" i="1"/>
  <c r="H13" i="1"/>
  <c r="I13" i="1" s="1"/>
  <c r="H11" i="1"/>
  <c r="H9" i="1"/>
  <c r="H7" i="1"/>
  <c r="I7" i="1" s="1"/>
  <c r="H5" i="1"/>
  <c r="G2" i="1"/>
  <c r="H2" i="1"/>
  <c r="I2" i="1"/>
  <c r="J2" i="1" s="1"/>
  <c r="K2" i="1" s="1"/>
  <c r="G3" i="1"/>
  <c r="E3" i="2"/>
  <c r="K11" i="1" l="1"/>
  <c r="J19" i="1"/>
  <c r="K19" i="1" s="1"/>
  <c r="I5" i="1"/>
  <c r="J11" i="1"/>
  <c r="J17" i="1"/>
  <c r="K17" i="1"/>
  <c r="J13" i="1"/>
  <c r="K13" i="1" s="1"/>
  <c r="J5" i="1"/>
  <c r="K5" i="1" s="1"/>
  <c r="I15" i="1"/>
  <c r="J15" i="1" s="1"/>
  <c r="J7" i="1"/>
  <c r="K7" i="1" s="1"/>
  <c r="H3" i="1"/>
  <c r="I3" i="1" s="1"/>
  <c r="G3" i="2"/>
  <c r="K15" i="1" l="1"/>
  <c r="K3" i="1"/>
  <c r="J3" i="1"/>
  <c r="I3" i="2"/>
  <c r="K3" i="2" l="1"/>
  <c r="M3" i="2" s="1"/>
  <c r="G50" i="2" l="1"/>
  <c r="G52" i="2" s="1"/>
  <c r="G53" i="2" s="1"/>
  <c r="F50" i="2"/>
  <c r="F52" i="2" s="1"/>
  <c r="F53" i="2" s="1"/>
  <c r="E50" i="2"/>
  <c r="E52" i="2" s="1"/>
  <c r="E53" i="2" s="1"/>
  <c r="D50" i="2"/>
  <c r="D52" i="2" s="1"/>
  <c r="D53" i="2" s="1"/>
  <c r="C50" i="2"/>
  <c r="C52" i="2" s="1"/>
  <c r="C53" i="2" s="1"/>
  <c r="B50" i="2"/>
  <c r="B52" i="2" s="1"/>
  <c r="B53" i="2" s="1"/>
  <c r="I50" i="2"/>
  <c r="I52" i="2" s="1"/>
  <c r="I53" i="2" s="1"/>
  <c r="G40" i="2"/>
  <c r="K50" i="2"/>
  <c r="K52" i="2" s="1"/>
  <c r="K53" i="2" s="1"/>
  <c r="H50" i="2"/>
  <c r="H52" i="2" s="1"/>
  <c r="H53" i="2" s="1"/>
  <c r="J50" i="2"/>
  <c r="J52" i="2" s="1"/>
  <c r="J53" i="2" s="1"/>
  <c r="O3" i="2"/>
  <c r="H36" i="2" s="1"/>
  <c r="I54" i="2" l="1"/>
  <c r="B56" i="2" s="1"/>
  <c r="I44" i="2"/>
  <c r="I37" i="2"/>
  <c r="I41" i="2"/>
</calcChain>
</file>

<file path=xl/sharedStrings.xml><?xml version="1.0" encoding="utf-8"?>
<sst xmlns="http://schemas.openxmlformats.org/spreadsheetml/2006/main" count="344" uniqueCount="188">
  <si>
    <t>Timestamp</t>
  </si>
  <si>
    <t>Email Address</t>
  </si>
  <si>
    <t>Surname and Name</t>
  </si>
  <si>
    <t>Matricula</t>
  </si>
  <si>
    <t>Given that at 10m from a point source in free field you have an SPL=80 dB, at which distance do you get an SPL =70 dB ?</t>
  </si>
  <si>
    <t>Given that at 10 m from a line source in free field you have an SPL=80 dB, at which distance do you get an SPL =70 dB ?</t>
  </si>
  <si>
    <t>Select only the correct statements:</t>
  </si>
  <si>
    <t>What of the following functions are ALWAYS included in a Sound Level Meter?</t>
  </si>
  <si>
    <t>A point source is located outdoors, over a reflecting plane, and has a power of 0.1+F/100 W. Compute the value of SPL (unweighted) at a distance of 10+D meters</t>
  </si>
  <si>
    <t>The same source of previous exercise is placed inside a reverberant room, having a volume V=200+E*10 m³ and a reverberation time T=2+C/5 s. Compute the average value of SPL inside the room, far from the source.</t>
  </si>
  <si>
    <t>If the source of previous exercise is placed on the reflecting floor inside the reverberant room, compute the SPL close to the source, at a distance of 0.5+F/10m.</t>
  </si>
  <si>
    <t>The noise inside a room is analysed in octave bands and results to be substantially pink (flat). If the SPL in each of the 10 octave bands (31.5 Hz to 16 kHz) is equal to 70+E dB, compute the total A-weighted SPL</t>
  </si>
  <si>
    <t>luca.storchi@studenti.unipr.it</t>
  </si>
  <si>
    <t>Storchi Luca</t>
  </si>
  <si>
    <t>31.5 m</t>
  </si>
  <si>
    <t>100 m</t>
  </si>
  <si>
    <t>SPL is larger than PVL near a wall, instead SPL is smaller than PVL near a sound source, In a plane, progressive wave SPL=PVL=SIL=EDL</t>
  </si>
  <si>
    <t>A-weighting filter, Octave or 1/3 octave band filters for spectrum analysis, Fast/Slow time constants</t>
  </si>
  <si>
    <t>78.8 dB</t>
  </si>
  <si>
    <t>106.5 dB</t>
  </si>
  <si>
    <t>99.2 dB</t>
  </si>
  <si>
    <t>edoardo.menghini@studenti.unipr.it</t>
  </si>
  <si>
    <t xml:space="preserve">Menghini Edoardo </t>
  </si>
  <si>
    <t>SIL (Sound Intensity Level ) can only be smaller or equal of EDL (Energy Density Level), In a plane, progressive wave SPL=PVL=SIL=EDL, The power level Lw of a sound source is always larger then the sound pressure level</t>
  </si>
  <si>
    <t>selector of the measurement range for accommodating weak or loud SPL values, A-weighting filter, Fast/Slow time constants</t>
  </si>
  <si>
    <t>luca.pagliarini@studenti.unipr.it</t>
  </si>
  <si>
    <t>Pagliarini Luca</t>
  </si>
  <si>
    <t>84 dB</t>
  </si>
  <si>
    <t>108.2 dB</t>
  </si>
  <si>
    <t>109.1 dB</t>
  </si>
  <si>
    <t>82 dB(A)</t>
  </si>
  <si>
    <t>veronica.mattioli@studenti.unipr.it</t>
  </si>
  <si>
    <t>Mattioli Veronica</t>
  </si>
  <si>
    <t>SPL is larger than PVL near a wall, instead SPL is smaller than PVL near a sound source, In a plane, progressive wave SPL=PVL=SIL=EDL, The power level Lw of a sound source is always larger then the sound pressure level</t>
  </si>
  <si>
    <t>selector of the measurement range for accommodating weak or loud SPL values, A-weighting filter, Fast/Slow time constants, Digital interface (USB, etc.) for connecting a computer</t>
  </si>
  <si>
    <t>81.8 dB</t>
  </si>
  <si>
    <t>105.5 dB</t>
  </si>
  <si>
    <t>107.5 dB</t>
  </si>
  <si>
    <t>82.2 dB(A)</t>
  </si>
  <si>
    <t>evana.mahfuth@studenti.unipr.it</t>
  </si>
  <si>
    <t>Mahfuth Evana</t>
  </si>
  <si>
    <t>selector of the measurement range for accommodating weak or loud SPL values, Octave or 1/3 octave band filters for spectrum analysis, Fast/Slow time constants, Digital interface (USB, etc.) for connecting a computer</t>
  </si>
  <si>
    <t>79.177dB</t>
  </si>
  <si>
    <t>108.113dB</t>
  </si>
  <si>
    <t>109.497dB</t>
  </si>
  <si>
    <t>34.0344dBA</t>
  </si>
  <si>
    <t>marco.simonazzi1@studenti.unipr.it</t>
  </si>
  <si>
    <t>Simonazzi Marco</t>
  </si>
  <si>
    <t>In a plane, progressive wave SPL=PVL=SIL=EDL, In the nearfield of a point source, SPL&lt;PVL and SIL&lt;EDL, The power level Lw of a sound source is always larger then the sound pressure level</t>
  </si>
  <si>
    <t>selector of the measurement range for accommodating weak or loud SPL values, A-weighting filter, LIN filter (no weighting), Fast/Slow time constants</t>
  </si>
  <si>
    <t>78.3 dB</t>
  </si>
  <si>
    <t>105.9 dB</t>
  </si>
  <si>
    <t>109.4 dB</t>
  </si>
  <si>
    <t>84.2 dB(A)</t>
  </si>
  <si>
    <t>nicholas.rocchi@studenti.unipr.it</t>
  </si>
  <si>
    <t>Rocchi Nicholas</t>
  </si>
  <si>
    <t>69.1 dB</t>
  </si>
  <si>
    <t>96.6 dB</t>
  </si>
  <si>
    <t>98.9 dB</t>
  </si>
  <si>
    <t>francesco.cabrini1@studenti.unipr.it</t>
  </si>
  <si>
    <t>Cabrini Francesco</t>
  </si>
  <si>
    <t>SIL (Sound Intensity Level ) can only be smaller or equal of EDL (Energy Density Level), In a plane, progressive wave SPL=PVL=SIL=EDL, In the nearfield of a point source, SPL&lt;PVL and SIL&lt;EDL</t>
  </si>
  <si>
    <t>82.8 dB</t>
  </si>
  <si>
    <t>104.6 dB</t>
  </si>
  <si>
    <t>106.2 dB</t>
  </si>
  <si>
    <t>rand.khashan@studenti.unipr.it</t>
  </si>
  <si>
    <t>Khashan Rand</t>
  </si>
  <si>
    <t>80 m</t>
  </si>
  <si>
    <t>SPL is larger than PVL near a wall, instead SPL is smaller than PVL near a sound source, SIL (Sound Intensity Level ) can only be smaller or equal of EDL (Energy Density Level), In a plane, progressive wave SPL=PVL=SIL=EDL, The power level Lw of a sound source is always larger then the sound pressure level</t>
  </si>
  <si>
    <t>100.017 dB</t>
  </si>
  <si>
    <t>mounisha.minumula@studenti.unipr.it</t>
  </si>
  <si>
    <t>Minumulamounisha mounisha</t>
  </si>
  <si>
    <t>SIL (Sound Intensity Level ) can only be smaller or equal of EDL (Energy Density Level), In a plane, progressive wave SPL=PVL=SIL=EDL</t>
  </si>
  <si>
    <t>A-weighting filter, LIN filter (no weighting), Fast/Slow time constants</t>
  </si>
  <si>
    <t>79.223 dB</t>
  </si>
  <si>
    <t>111.527 dB</t>
  </si>
  <si>
    <t>108.5271 dB</t>
  </si>
  <si>
    <t>suhasyadav.bengalurunagappa@studenti.unipr.it</t>
  </si>
  <si>
    <t>Bengaluru Nagappa Suhas Yadav</t>
  </si>
  <si>
    <t>108.6276dB</t>
  </si>
  <si>
    <t>105.627dB</t>
  </si>
  <si>
    <t>monashivajirao.chavan@studenti.unipr.it</t>
  </si>
  <si>
    <t>Chavan mona Shivaji Rao chavan</t>
  </si>
  <si>
    <t>137,70 db</t>
  </si>
  <si>
    <t>110,49 db</t>
  </si>
  <si>
    <t>luca.pettenati@studenti.unipr.it</t>
  </si>
  <si>
    <t>Pettenati Luca</t>
  </si>
  <si>
    <t>SPL is larger than PVL near a wall, instead SPL is smaller than PVL near a sound source, SIL (Sound Intensity Level ) can only be smaller or equal of EDL (Energy Density Level), In a plane, progressive wave SPL=PVL=SIL=EDL</t>
  </si>
  <si>
    <t>A-weighting filter, Digital interface (USB, etc.) for connecting a computer</t>
  </si>
  <si>
    <t>77.2 dB(A)</t>
  </si>
  <si>
    <t>108.3 dB(A)</t>
  </si>
  <si>
    <t>103.8 dB(A)</t>
  </si>
  <si>
    <t>angelo.traina@studenti.unipr.it</t>
  </si>
  <si>
    <t>Traina Angelo</t>
  </si>
  <si>
    <t>In a plane, progressive wave SPL=PVL=SIL=EDL, The power level Lw of a sound source is always larger then the sound pressure level</t>
  </si>
  <si>
    <t>70.48 dB</t>
  </si>
  <si>
    <t>98.71 dB</t>
  </si>
  <si>
    <t>99.60 dB</t>
  </si>
  <si>
    <t>80.17 dB(A)</t>
  </si>
  <si>
    <t>michele.gregorelli@studenti.unipr.it</t>
  </si>
  <si>
    <t>Gregorelli Michele</t>
  </si>
  <si>
    <t>SPL is larger than PVL near a wall, instead SPL is smaller than PVL near a sound source</t>
  </si>
  <si>
    <t>selector of the measurement range for accommodating weak or loud SPL values, Fast/Slow time constants</t>
  </si>
  <si>
    <t>82.76 dB</t>
  </si>
  <si>
    <t>lucia.gallegoolivares@studenti.unipr.it</t>
  </si>
  <si>
    <t>GALLEGO OLIVARES, LUCIA</t>
  </si>
  <si>
    <t>selector of the measurement range for accommodating weak or loud SPL values, A-weighting filter, LIN filter (no weighting)</t>
  </si>
  <si>
    <t>76.68 dB</t>
  </si>
  <si>
    <t>108.53 dB</t>
  </si>
  <si>
    <t>101.89 dB</t>
  </si>
  <si>
    <t>81.17 dB(A)</t>
  </si>
  <si>
    <t>khuram.shahzad@studenti.unipr.it</t>
  </si>
  <si>
    <t>Shahzad Khuram</t>
  </si>
  <si>
    <t>In a plane, progressive wave SPL=PVL=SIL=EDL</t>
  </si>
  <si>
    <t>79.7 dB</t>
  </si>
  <si>
    <t>107.69 dB</t>
  </si>
  <si>
    <t>108.89 dB</t>
  </si>
  <si>
    <t>115.4 dB(A)</t>
  </si>
  <si>
    <t>Online bonus</t>
  </si>
  <si>
    <t>offline</t>
  </si>
  <si>
    <t>Chavan Son Shivati Rao</t>
  </si>
  <si>
    <t>78.204 dB</t>
  </si>
  <si>
    <t>111.7609 dB</t>
  </si>
  <si>
    <t>106.83 dB</t>
  </si>
  <si>
    <t>one answer only, mandatory</t>
  </si>
  <si>
    <r>
      <t>¡</t>
    </r>
    <r>
      <rPr>
        <sz val="7"/>
        <color rgb="FF000000"/>
        <rFont val="Times New Roman"/>
        <family val="1"/>
      </rPr>
      <t xml:space="preserve">  </t>
    </r>
    <r>
      <rPr>
        <sz val="11"/>
        <color rgb="FF000000"/>
        <rFont val="Calibri"/>
        <family val="2"/>
      </rPr>
      <t>20 m</t>
    </r>
  </si>
  <si>
    <r>
      <t>¡</t>
    </r>
    <r>
      <rPr>
        <sz val="7"/>
        <color rgb="FF000000"/>
        <rFont val="Times New Roman"/>
        <family val="1"/>
      </rPr>
      <t xml:space="preserve">  </t>
    </r>
    <r>
      <rPr>
        <sz val="11"/>
        <color rgb="FF000000"/>
        <rFont val="Calibri"/>
        <family val="2"/>
      </rPr>
      <t>31.5 m</t>
    </r>
  </si>
  <si>
    <r>
      <t>¡</t>
    </r>
    <r>
      <rPr>
        <sz val="7"/>
        <color rgb="FF000000"/>
        <rFont val="Times New Roman"/>
        <family val="1"/>
      </rPr>
      <t xml:space="preserve">  </t>
    </r>
    <r>
      <rPr>
        <sz val="11"/>
        <color rgb="FF000000"/>
        <rFont val="Calibri"/>
        <family val="2"/>
      </rPr>
      <t>40 m</t>
    </r>
  </si>
  <si>
    <r>
      <t>¡</t>
    </r>
    <r>
      <rPr>
        <sz val="7"/>
        <color rgb="FF000000"/>
        <rFont val="Times New Roman"/>
        <family val="1"/>
      </rPr>
      <t xml:space="preserve">  </t>
    </r>
    <r>
      <rPr>
        <sz val="11"/>
        <color rgb="FF000000"/>
        <rFont val="Calibri"/>
        <family val="2"/>
      </rPr>
      <t>80 m</t>
    </r>
  </si>
  <si>
    <r>
      <t>¡</t>
    </r>
    <r>
      <rPr>
        <sz val="7"/>
        <color rgb="FF000000"/>
        <rFont val="Times New Roman"/>
        <family val="1"/>
      </rPr>
      <t xml:space="preserve">  </t>
    </r>
    <r>
      <rPr>
        <sz val="11"/>
        <color rgb="FF000000"/>
        <rFont val="Calibri"/>
        <family val="2"/>
      </rPr>
      <t>100 m</t>
    </r>
  </si>
  <si>
    <t>multiple answers allowed</t>
  </si>
  <si>
    <r>
      <t>¨</t>
    </r>
    <r>
      <rPr>
        <sz val="7"/>
        <color rgb="FF000000"/>
        <rFont val="Times New Roman"/>
        <family val="1"/>
      </rPr>
      <t xml:space="preserve">  </t>
    </r>
    <r>
      <rPr>
        <sz val="11"/>
        <color rgb="FF000000"/>
        <rFont val="Calibri"/>
        <family val="2"/>
      </rPr>
      <t>SPL (sound pressure level) is always equal to PVL (particle velocity level)</t>
    </r>
  </si>
  <si>
    <r>
      <t>¨</t>
    </r>
    <r>
      <rPr>
        <sz val="7"/>
        <color rgb="FF000000"/>
        <rFont val="Times New Roman"/>
        <family val="1"/>
      </rPr>
      <t xml:space="preserve">  </t>
    </r>
    <r>
      <rPr>
        <sz val="11"/>
        <color rgb="FF000000"/>
        <rFont val="Calibri"/>
        <family val="2"/>
      </rPr>
      <t>SPL is larger than PVL near a wall, instead SPL is smaller than PVL near a sound source</t>
    </r>
  </si>
  <si>
    <r>
      <t>¨</t>
    </r>
    <r>
      <rPr>
        <sz val="7"/>
        <color rgb="FF000000"/>
        <rFont val="Times New Roman"/>
        <family val="1"/>
      </rPr>
      <t xml:space="preserve">  </t>
    </r>
    <r>
      <rPr>
        <sz val="11"/>
        <color rgb="FF000000"/>
        <rFont val="Calibri"/>
        <family val="2"/>
      </rPr>
      <t>SIL (Sound Intensity Level ) can only be smaller or equal of EDL (Energy Density Level)</t>
    </r>
  </si>
  <si>
    <r>
      <t>¨</t>
    </r>
    <r>
      <rPr>
        <sz val="7"/>
        <color rgb="FF000000"/>
        <rFont val="Times New Roman"/>
        <family val="1"/>
      </rPr>
      <t xml:space="preserve">  </t>
    </r>
    <r>
      <rPr>
        <sz val="11"/>
        <color rgb="FF000000"/>
        <rFont val="Calibri"/>
        <family val="2"/>
      </rPr>
      <t>In a plane, progressive wave SPL=PVL=SIL=EDL</t>
    </r>
  </si>
  <si>
    <r>
      <t>¨</t>
    </r>
    <r>
      <rPr>
        <sz val="7"/>
        <color rgb="FF000000"/>
        <rFont val="Times New Roman"/>
        <family val="1"/>
      </rPr>
      <t xml:space="preserve">  </t>
    </r>
    <r>
      <rPr>
        <sz val="11"/>
        <color rgb="FF000000"/>
        <rFont val="Calibri"/>
        <family val="2"/>
      </rPr>
      <t>In the nearfield of a point source, SPL&lt;PVL and SIL&lt;EDL</t>
    </r>
  </si>
  <si>
    <r>
      <t>¨</t>
    </r>
    <r>
      <rPr>
        <sz val="7"/>
        <color rgb="FF000000"/>
        <rFont val="Times New Roman"/>
        <family val="1"/>
      </rPr>
      <t xml:space="preserve">  </t>
    </r>
    <r>
      <rPr>
        <sz val="11"/>
        <color rgb="FF000000"/>
        <rFont val="Calibri"/>
        <family val="2"/>
      </rPr>
      <t>The power level Lw of a sound source is always larger then the sound pressure level</t>
    </r>
  </si>
  <si>
    <r>
      <t>¨</t>
    </r>
    <r>
      <rPr>
        <sz val="7"/>
        <color rgb="FF000000"/>
        <rFont val="Times New Roman"/>
        <family val="1"/>
      </rPr>
      <t xml:space="preserve">  </t>
    </r>
    <r>
      <rPr>
        <sz val="11"/>
        <color rgb="FF000000"/>
        <rFont val="Calibri"/>
        <family val="2"/>
      </rPr>
      <t>selector of the measurement range for accommodating weak or loud SPL values</t>
    </r>
  </si>
  <si>
    <r>
      <t>¨</t>
    </r>
    <r>
      <rPr>
        <sz val="7"/>
        <color rgb="FF000000"/>
        <rFont val="Times New Roman"/>
        <family val="1"/>
      </rPr>
      <t xml:space="preserve">  </t>
    </r>
    <r>
      <rPr>
        <sz val="11"/>
        <color rgb="FF000000"/>
        <rFont val="Calibri"/>
        <family val="2"/>
      </rPr>
      <t>A-weighting filter</t>
    </r>
  </si>
  <si>
    <r>
      <t>¨</t>
    </r>
    <r>
      <rPr>
        <sz val="7"/>
        <color rgb="FF000000"/>
        <rFont val="Times New Roman"/>
        <family val="1"/>
      </rPr>
      <t xml:space="preserve">  </t>
    </r>
    <r>
      <rPr>
        <sz val="11"/>
        <color rgb="FF000000"/>
        <rFont val="Calibri"/>
        <family val="2"/>
      </rPr>
      <t>LIN filter (no weighting)</t>
    </r>
  </si>
  <si>
    <r>
      <t>¨</t>
    </r>
    <r>
      <rPr>
        <sz val="7"/>
        <color rgb="FF000000"/>
        <rFont val="Times New Roman"/>
        <family val="1"/>
      </rPr>
      <t xml:space="preserve">  </t>
    </r>
    <r>
      <rPr>
        <sz val="11"/>
        <color rgb="FF000000"/>
        <rFont val="Calibri"/>
        <family val="2"/>
      </rPr>
      <t>Octave or 1/3 octave band filters for spectrum analysis</t>
    </r>
  </si>
  <si>
    <r>
      <t>¨</t>
    </r>
    <r>
      <rPr>
        <sz val="7"/>
        <color rgb="FF000000"/>
        <rFont val="Times New Roman"/>
        <family val="1"/>
      </rPr>
      <t xml:space="preserve">  </t>
    </r>
    <r>
      <rPr>
        <sz val="11"/>
        <color rgb="FF000000"/>
        <rFont val="Calibri"/>
        <family val="2"/>
      </rPr>
      <t>Fast/Slow time constants</t>
    </r>
  </si>
  <si>
    <r>
      <t>¨</t>
    </r>
    <r>
      <rPr>
        <sz val="7"/>
        <color rgb="FF000000"/>
        <rFont val="Times New Roman"/>
        <family val="1"/>
      </rPr>
      <t xml:space="preserve">  </t>
    </r>
    <r>
      <rPr>
        <sz val="11"/>
        <color rgb="FF000000"/>
        <rFont val="Calibri"/>
        <family val="2"/>
      </rPr>
      <t>Digital interface (USB, etc.) for connecting a computer</t>
    </r>
  </si>
  <si>
    <t>write number and measurement unit</t>
  </si>
  <si>
    <t>Lw = 10*log10(W/1E-12) =</t>
  </si>
  <si>
    <t>dB</t>
  </si>
  <si>
    <t>SPL = Lw - 11 +10*log10(Q) -20*log10(r)  =</t>
  </si>
  <si>
    <t>A = 0.16 * V / T =</t>
  </si>
  <si>
    <t>m2</t>
  </si>
  <si>
    <t>SPL = Lw + 10*log10(4/A) =</t>
  </si>
  <si>
    <t>f (Hz)</t>
  </si>
  <si>
    <t>SPL (dB)</t>
  </si>
  <si>
    <t>Aw (dB)</t>
  </si>
  <si>
    <t>SPL (dBA)</t>
  </si>
  <si>
    <t>10^(SPLi/10)</t>
  </si>
  <si>
    <t>SPL Total (dBA) = 10*log10(sum(10^(SPLi/10)) =</t>
  </si>
  <si>
    <t>dB(A)</t>
  </si>
  <si>
    <t>Score</t>
  </si>
  <si>
    <r>
      <t>SPL = Lw + 10*log10 (Q/(4*</t>
    </r>
    <r>
      <rPr>
        <b/>
        <sz val="10"/>
        <color rgb="FF000000"/>
        <rFont val="Symbol"/>
        <family val="1"/>
        <charset val="2"/>
      </rPr>
      <t>p</t>
    </r>
    <r>
      <rPr>
        <b/>
        <sz val="10"/>
        <color rgb="FF000000"/>
        <rFont val="Arial"/>
        <family val="2"/>
      </rPr>
      <t>*r^2)+4/A) =</t>
    </r>
  </si>
  <si>
    <t>82.018 dB(A)</t>
  </si>
  <si>
    <t>N.</t>
  </si>
  <si>
    <t>Matricola</t>
  </si>
  <si>
    <t>A =</t>
  </si>
  <si>
    <t>B =</t>
  </si>
  <si>
    <t>C =</t>
  </si>
  <si>
    <t>D =</t>
  </si>
  <si>
    <t>E =</t>
  </si>
  <si>
    <t>F =</t>
  </si>
  <si>
    <t>Applied Acoustics test - 09/11/2018</t>
  </si>
  <si>
    <t>A</t>
  </si>
  <si>
    <t>B</t>
  </si>
  <si>
    <t>C</t>
  </si>
  <si>
    <t>D</t>
  </si>
  <si>
    <t>E</t>
  </si>
  <si>
    <t>F</t>
  </si>
  <si>
    <t>Correct Answer</t>
  </si>
  <si>
    <t>Correct Unit</t>
  </si>
  <si>
    <t>Colour markings:</t>
  </si>
  <si>
    <t>decimal comma instead of decimal dot (not error, this time)</t>
  </si>
  <si>
    <t>missing space between number and measurmenet unit (not error, this time)</t>
  </si>
  <si>
    <t>Delta =</t>
  </si>
  <si>
    <t>Total Score</t>
  </si>
  <si>
    <t>wrong or missing measurement unit (ERROR!)</t>
  </si>
  <si>
    <t>Note: 0 points if the number is still OK, -1 if the number is also wrong</t>
  </si>
  <si>
    <t>81.888 dB</t>
  </si>
  <si>
    <t>107.99 dB</t>
  </si>
  <si>
    <t>109.567 dB</t>
  </si>
  <si>
    <t>77.17 dB(A)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</si>
</sst>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yy\ h:mm:ss"/>
    <numFmt numFmtId="165" formatCode="0.0"/>
    <numFmt numFmtId="166" formatCode="0.000"/>
  </numFmts>
  <fonts count="14" x14ac:knownFonts="1">
    <font>
      <sz val="10"/>
      <color rgb="FF000000"/>
      <name val="Arial"/>
    </font>
    <font>
      <sz val="10"/>
      <name val="Arial"/>
      <family val="2"/>
    </font>
    <font>
      <sz val="10"/>
      <color rgb="FF000000"/>
      <name val="Arial"/>
      <family val="2"/>
    </font>
    <font>
      <sz val="11"/>
      <color rgb="FF000000"/>
      <name val="Calibri"/>
      <family val="2"/>
    </font>
    <font>
      <b/>
      <sz val="11"/>
      <color rgb="FF000000"/>
      <name val="Calibri"/>
      <family val="2"/>
    </font>
    <font>
      <i/>
      <sz val="11"/>
      <color rgb="FF000000"/>
      <name val="Calibri"/>
      <family val="2"/>
    </font>
    <font>
      <sz val="11"/>
      <color rgb="FF000000"/>
      <name val="Wingdings"/>
      <charset val="2"/>
    </font>
    <font>
      <sz val="7"/>
      <color rgb="FF000000"/>
      <name val="Times New Roman"/>
      <family val="1"/>
    </font>
    <font>
      <b/>
      <sz val="10"/>
      <color rgb="FF000000"/>
      <name val="Arial"/>
      <family val="2"/>
    </font>
    <font>
      <b/>
      <sz val="10"/>
      <color rgb="FF000000"/>
      <name val="Symbol"/>
      <family val="1"/>
      <charset val="2"/>
    </font>
    <font>
      <b/>
      <sz val="10"/>
      <name val="Arial"/>
      <family val="2"/>
    </font>
    <font>
      <b/>
      <sz val="12"/>
      <color indexed="10"/>
      <name val="Arial"/>
      <family val="2"/>
    </font>
    <font>
      <sz val="10"/>
      <color rgb="FFFF0000"/>
      <name val="Arial"/>
      <family val="2"/>
    </font>
    <font>
      <sz val="10"/>
      <color rgb="FF008000"/>
      <name val="Arial"/>
      <family val="2"/>
    </font>
  </fonts>
  <fills count="9">
    <fill>
      <patternFill patternType="none"/>
    </fill>
    <fill>
      <patternFill patternType="gray125"/>
    </fill>
    <fill>
      <patternFill patternType="solid">
        <fgColor rgb="FFFFFF00"/>
        <bgColor indexed="64"/>
      </patternFill>
    </fill>
    <fill>
      <patternFill patternType="solid">
        <fgColor rgb="FFD8D8D8"/>
        <bgColor rgb="FFD8D8D8"/>
      </patternFill>
    </fill>
    <fill>
      <patternFill patternType="solid">
        <fgColor rgb="FFDEEAF6"/>
        <bgColor rgb="FFDEEAF6"/>
      </patternFill>
    </fill>
    <fill>
      <patternFill patternType="solid">
        <fgColor rgb="FFFF0000"/>
        <bgColor indexed="64"/>
      </patternFill>
    </fill>
    <fill>
      <patternFill patternType="solid">
        <fgColor rgb="FFCCFFFF"/>
        <bgColor indexed="64"/>
      </patternFill>
    </fill>
    <fill>
      <patternFill patternType="solid">
        <fgColor rgb="FFFFFFCC"/>
        <bgColor indexed="64"/>
      </patternFill>
    </fill>
    <fill>
      <patternFill patternType="solid">
        <fgColor theme="9" tint="0.79998168889431442"/>
        <bgColor indexed="64"/>
      </patternFill>
    </fill>
  </fills>
  <borders count="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rgb="FF000000"/>
      </right>
      <top style="medium">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51">
    <xf numFmtId="0" fontId="0" fillId="0" borderId="0" xfId="0" applyFont="1" applyAlignment="1"/>
    <xf numFmtId="0" fontId="2" fillId="0" borderId="0" xfId="0" applyFont="1" applyAlignment="1"/>
    <xf numFmtId="0" fontId="0" fillId="0" borderId="0" xfId="0" applyFont="1" applyAlignment="1">
      <alignment horizont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indent="4"/>
    </xf>
    <xf numFmtId="0" fontId="3" fillId="0" borderId="0" xfId="0" applyFont="1" applyAlignment="1">
      <alignment vertical="center"/>
    </xf>
    <xf numFmtId="0" fontId="8" fillId="0" borderId="0" xfId="0" applyFont="1" applyAlignment="1"/>
    <xf numFmtId="0" fontId="6" fillId="2" borderId="0" xfId="0" applyFont="1" applyFill="1" applyAlignment="1">
      <alignment horizontal="left" vertical="center" indent="4"/>
    </xf>
    <xf numFmtId="0" fontId="0" fillId="2" borderId="0" xfId="0" applyFont="1" applyFill="1" applyAlignment="1"/>
    <xf numFmtId="0" fontId="4" fillId="0" borderId="0" xfId="0" applyFont="1" applyAlignment="1">
      <alignment vertical="center" wrapText="1"/>
    </xf>
    <xf numFmtId="0" fontId="0" fillId="0" borderId="0" xfId="0" applyFont="1" applyAlignment="1">
      <alignment wrapText="1"/>
    </xf>
    <xf numFmtId="0" fontId="2" fillId="0" borderId="0" xfId="0" applyFont="1" applyAlignment="1">
      <alignment wrapText="1"/>
    </xf>
    <xf numFmtId="0" fontId="8" fillId="0" borderId="0" xfId="0" applyFont="1" applyAlignment="1">
      <alignment wrapText="1"/>
    </xf>
    <xf numFmtId="0" fontId="5" fillId="0" borderId="0" xfId="0" applyFont="1" applyFill="1" applyAlignment="1">
      <alignment vertical="center"/>
    </xf>
    <xf numFmtId="0" fontId="0" fillId="0" borderId="0" xfId="0" applyFont="1" applyFill="1" applyAlignment="1"/>
    <xf numFmtId="0" fontId="10" fillId="0" borderId="0" xfId="0" applyFont="1"/>
    <xf numFmtId="0" fontId="0" fillId="0" borderId="0" xfId="0"/>
    <xf numFmtId="0" fontId="1" fillId="0" borderId="0" xfId="0" applyFont="1" applyAlignment="1">
      <alignment horizontal="right"/>
    </xf>
    <xf numFmtId="0" fontId="0" fillId="0" borderId="0" xfId="0" applyAlignment="1">
      <alignment horizontal="left"/>
    </xf>
    <xf numFmtId="0" fontId="11" fillId="0" borderId="0" xfId="0" applyFont="1"/>
    <xf numFmtId="165" fontId="8" fillId="2" borderId="1" xfId="0" applyNumberFormat="1" applyFont="1" applyFill="1" applyBorder="1" applyAlignment="1"/>
    <xf numFmtId="0" fontId="8" fillId="2" borderId="2" xfId="0" applyFont="1" applyFill="1" applyBorder="1" applyAlignment="1"/>
    <xf numFmtId="0" fontId="10"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0" fillId="0" borderId="4" xfId="0"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2" fillId="4" borderId="4" xfId="0" applyFont="1" applyFill="1" applyBorder="1" applyAlignment="1">
      <alignment horizontal="center"/>
    </xf>
    <xf numFmtId="0" fontId="0" fillId="0" borderId="4" xfId="0" applyFont="1" applyBorder="1" applyAlignment="1"/>
    <xf numFmtId="164" fontId="1" fillId="0" borderId="4" xfId="0" applyNumberFormat="1" applyFont="1" applyBorder="1" applyAlignment="1">
      <alignment horizontal="center"/>
    </xf>
    <xf numFmtId="0" fontId="2" fillId="0" borderId="4" xfId="0" applyFont="1" applyBorder="1" applyAlignment="1">
      <alignment horizontal="center"/>
    </xf>
    <xf numFmtId="165" fontId="13" fillId="0" borderId="4" xfId="0" applyNumberFormat="1" applyFont="1" applyBorder="1" applyAlignment="1">
      <alignment horizontal="center"/>
    </xf>
    <xf numFmtId="0" fontId="10" fillId="0" borderId="4" xfId="0" applyFont="1" applyBorder="1" applyAlignment="1">
      <alignment horizontal="center"/>
    </xf>
    <xf numFmtId="0" fontId="0" fillId="0" borderId="0" xfId="0" applyFont="1" applyAlignment="1">
      <alignment horizontal="left"/>
    </xf>
    <xf numFmtId="0" fontId="2" fillId="5" borderId="0" xfId="0" applyFont="1" applyFill="1" applyAlignment="1">
      <alignment horizontal="left"/>
    </xf>
    <xf numFmtId="0" fontId="0" fillId="5" borderId="0" xfId="0" applyFont="1" applyFill="1" applyAlignment="1"/>
    <xf numFmtId="0" fontId="2" fillId="6" borderId="0" xfId="0" applyFont="1" applyFill="1" applyAlignment="1">
      <alignment horizontal="left"/>
    </xf>
    <xf numFmtId="0" fontId="0" fillId="6" borderId="0" xfId="0" applyFont="1" applyFill="1" applyAlignment="1"/>
    <xf numFmtId="0" fontId="2" fillId="7" borderId="0" xfId="0" applyFont="1" applyFill="1" applyAlignment="1">
      <alignment horizontal="left"/>
    </xf>
    <xf numFmtId="0" fontId="0" fillId="7" borderId="0" xfId="0" applyFont="1" applyFill="1" applyAlignment="1"/>
    <xf numFmtId="0" fontId="1" fillId="5" borderId="4" xfId="0" applyFont="1" applyFill="1" applyBorder="1" applyAlignment="1"/>
    <xf numFmtId="0" fontId="1" fillId="7" borderId="4" xfId="0" applyFont="1" applyFill="1" applyBorder="1" applyAlignment="1"/>
    <xf numFmtId="0" fontId="1" fillId="8" borderId="4" xfId="0" applyFont="1" applyFill="1" applyBorder="1" applyAlignment="1">
      <alignment horizontal="center"/>
    </xf>
    <xf numFmtId="166" fontId="0" fillId="0" borderId="0" xfId="0" applyNumberFormat="1" applyFont="1" applyAlignment="1"/>
    <xf numFmtId="0" fontId="8" fillId="0" borderId="0" xfId="0" applyFont="1" applyAlignment="1">
      <alignment horizontal="left"/>
    </xf>
    <xf numFmtId="0" fontId="10" fillId="2" borderId="4" xfId="0" applyFont="1" applyFill="1" applyBorder="1" applyAlignment="1">
      <alignment horizontal="center"/>
    </xf>
    <xf numFmtId="0" fontId="1" fillId="0" borderId="0" xfId="0" applyFont="1" applyFill="1" applyBorder="1" applyAlignment="1"/>
    <xf numFmtId="0" fontId="4" fillId="0" borderId="0" xfId="0" applyFont="1" applyAlignment="1">
      <alignment vertical="center" wrapText="1"/>
    </xf>
    <xf numFmtId="0" fontId="0" fillId="0" borderId="0" xfId="0" applyFont="1" applyAlignment="1">
      <alignment wrapText="1"/>
    </xf>
    <xf numFmtId="0" fontId="1" fillId="0" borderId="4" xfId="0" applyFont="1" applyFill="1" applyBorder="1" applyAlignment="1"/>
  </cellXfs>
  <cellStyles count="1">
    <cellStyle name="Normal" xfId="0" builtinId="0"/>
  </cellStyles>
  <dxfs count="31">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ont>
        <color theme="2" tint="-0.749961851863155"/>
      </font>
      <fill>
        <patternFill>
          <bgColor theme="0" tint="-0.14996795556505021"/>
        </patternFill>
      </fill>
    </dxf>
    <dxf>
      <fill>
        <patternFill>
          <bgColor rgb="FFFFFF00"/>
        </patternFill>
      </fill>
    </dxf>
    <dxf>
      <font>
        <color rgb="FF9C0006"/>
      </font>
      <fill>
        <patternFill>
          <bgColor rgb="FFFFC7CE"/>
        </patternFill>
      </fill>
    </dxf>
    <dxf>
      <fill>
        <patternFill patternType="solid">
          <fgColor rgb="FFFFD965"/>
          <bgColor rgb="FFFFD965"/>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31"/>
  <sheetViews>
    <sheetView tabSelected="1" zoomScale="112" zoomScaleNormal="112" workbookViewId="0">
      <pane xSplit="4" ySplit="1" topLeftCell="E2" activePane="bottomRight" state="frozen"/>
      <selection pane="topRight" activeCell="E1" sqref="E1"/>
      <selection pane="bottomLeft" activeCell="A2" sqref="A2"/>
      <selection pane="bottomRight" activeCell="A3" sqref="A3"/>
    </sheetView>
  </sheetViews>
  <sheetFormatPr defaultColWidth="14.42578125" defaultRowHeight="15.75" customHeight="1" x14ac:dyDescent="0.2"/>
  <cols>
    <col min="1" max="1" width="5.42578125" style="2" customWidth="1"/>
    <col min="2" max="2" width="18.42578125" customWidth="1"/>
    <col min="3" max="3" width="42.42578125" customWidth="1"/>
    <col min="4" max="4" width="30" customWidth="1"/>
    <col min="5" max="5" width="9.140625" style="2" customWidth="1"/>
    <col min="6" max="11" width="3.7109375" style="2" customWidth="1"/>
    <col min="12" max="12" width="8" style="2" customWidth="1"/>
    <col min="13" max="13" width="18.140625" customWidth="1"/>
    <col min="14" max="14" width="7.28515625" style="2" customWidth="1"/>
    <col min="15" max="15" width="17.140625" customWidth="1"/>
    <col min="16" max="16" width="7.28515625" style="2" customWidth="1"/>
    <col min="17" max="17" width="17.85546875" customWidth="1"/>
    <col min="18" max="23" width="3.42578125" style="2" customWidth="1"/>
    <col min="24" max="24" width="17.7109375" customWidth="1"/>
    <col min="25" max="30" width="3.7109375" style="2" customWidth="1"/>
    <col min="31" max="31" width="24" customWidth="1"/>
    <col min="32" max="32" width="8.85546875" customWidth="1"/>
    <col min="33" max="33" width="8.42578125" customWidth="1"/>
    <col min="34" max="34" width="6.7109375" customWidth="1"/>
    <col min="35" max="35" width="31.42578125" customWidth="1"/>
    <col min="36" max="36" width="8" customWidth="1"/>
    <col min="37" max="37" width="8.42578125" customWidth="1"/>
    <col min="38" max="38" width="7.28515625" customWidth="1"/>
    <col min="39" max="39" width="21.5703125" customWidth="1"/>
    <col min="40" max="42" width="7.85546875" customWidth="1"/>
    <col min="43" max="43" width="29.140625" customWidth="1"/>
    <col min="44" max="44" width="8.5703125" customWidth="1"/>
    <col min="45" max="45" width="8" customWidth="1"/>
    <col min="46" max="46" width="6.7109375" customWidth="1"/>
    <col min="47" max="47" width="8.42578125" customWidth="1"/>
    <col min="48" max="49" width="21.5703125" customWidth="1"/>
  </cols>
  <sheetData>
    <row r="1" spans="1:47" s="11" customFormat="1" ht="111.75" customHeight="1" x14ac:dyDescent="0.2">
      <c r="A1" s="23" t="s">
        <v>160</v>
      </c>
      <c r="B1" s="23" t="s">
        <v>0</v>
      </c>
      <c r="C1" s="23" t="s">
        <v>1</v>
      </c>
      <c r="D1" s="23" t="s">
        <v>2</v>
      </c>
      <c r="E1" s="23" t="s">
        <v>3</v>
      </c>
      <c r="F1" s="23" t="s">
        <v>169</v>
      </c>
      <c r="G1" s="23" t="s">
        <v>170</v>
      </c>
      <c r="H1" s="23" t="s">
        <v>171</v>
      </c>
      <c r="I1" s="23" t="s">
        <v>172</v>
      </c>
      <c r="J1" s="23" t="s">
        <v>173</v>
      </c>
      <c r="K1" s="23" t="s">
        <v>174</v>
      </c>
      <c r="L1" s="24" t="s">
        <v>118</v>
      </c>
      <c r="M1" s="24" t="s">
        <v>4</v>
      </c>
      <c r="N1" s="24" t="s">
        <v>157</v>
      </c>
      <c r="O1" s="24" t="s">
        <v>5</v>
      </c>
      <c r="P1" s="24" t="s">
        <v>157</v>
      </c>
      <c r="Q1" s="24" t="s">
        <v>6</v>
      </c>
      <c r="R1" s="23">
        <v>-1</v>
      </c>
      <c r="S1" s="23">
        <v>1</v>
      </c>
      <c r="T1" s="23">
        <v>1</v>
      </c>
      <c r="U1" s="23">
        <v>1</v>
      </c>
      <c r="V1" s="23">
        <v>1</v>
      </c>
      <c r="W1" s="23">
        <v>-1</v>
      </c>
      <c r="X1" s="24" t="s">
        <v>7</v>
      </c>
      <c r="Y1" s="24">
        <v>-1</v>
      </c>
      <c r="Z1" s="24">
        <v>1</v>
      </c>
      <c r="AA1" s="24">
        <v>-1</v>
      </c>
      <c r="AB1" s="24">
        <v>-1</v>
      </c>
      <c r="AC1" s="24">
        <v>1</v>
      </c>
      <c r="AD1" s="24">
        <v>-1</v>
      </c>
      <c r="AE1" s="24" t="s">
        <v>8</v>
      </c>
      <c r="AF1" s="24" t="s">
        <v>175</v>
      </c>
      <c r="AG1" s="24" t="s">
        <v>176</v>
      </c>
      <c r="AH1" s="24" t="s">
        <v>157</v>
      </c>
      <c r="AI1" s="24" t="s">
        <v>9</v>
      </c>
      <c r="AJ1" s="24" t="s">
        <v>175</v>
      </c>
      <c r="AK1" s="24" t="s">
        <v>176</v>
      </c>
      <c r="AL1" s="24" t="s">
        <v>157</v>
      </c>
      <c r="AM1" s="24" t="s">
        <v>10</v>
      </c>
      <c r="AN1" s="24" t="s">
        <v>175</v>
      </c>
      <c r="AO1" s="24" t="s">
        <v>176</v>
      </c>
      <c r="AP1" s="24" t="s">
        <v>157</v>
      </c>
      <c r="AQ1" s="24" t="s">
        <v>11</v>
      </c>
      <c r="AR1" s="24" t="s">
        <v>175</v>
      </c>
      <c r="AS1" s="24" t="s">
        <v>176</v>
      </c>
      <c r="AT1" s="24" t="s">
        <v>157</v>
      </c>
      <c r="AU1" s="24" t="s">
        <v>181</v>
      </c>
    </row>
    <row r="2" spans="1:47" ht="15.75" customHeight="1" x14ac:dyDescent="0.2">
      <c r="A2" s="25">
        <v>1</v>
      </c>
      <c r="B2" s="30">
        <v>43413.71417684028</v>
      </c>
      <c r="C2" s="26" t="s">
        <v>12</v>
      </c>
      <c r="D2" s="26" t="s">
        <v>13</v>
      </c>
      <c r="E2" s="27">
        <v>288771</v>
      </c>
      <c r="F2" s="25">
        <f>INT(E2/100000)</f>
        <v>2</v>
      </c>
      <c r="G2" s="25">
        <f t="shared" ref="G2:G3" si="0">INT(($E2-100000*F2)/10000)</f>
        <v>8</v>
      </c>
      <c r="H2" s="25">
        <f t="shared" ref="H2:H3" si="1">INT(($E2-100000*F2-10000*G2)/1000)</f>
        <v>8</v>
      </c>
      <c r="I2" s="25">
        <f>INT(($E2-100000*$F2-10000*$G2-1000*$H2)/100)</f>
        <v>7</v>
      </c>
      <c r="J2" s="25">
        <f>INT(($E2-100000*$F2-10000*$G2-1000*$H2-100*$I2)/10)</f>
        <v>7</v>
      </c>
      <c r="K2" s="25">
        <f>INT(($E2-100000*$F2-10000*$G2-1000*$H2-100*$I2-10*$J2))</f>
        <v>1</v>
      </c>
      <c r="L2" s="43">
        <v>2</v>
      </c>
      <c r="M2" s="27" t="s">
        <v>14</v>
      </c>
      <c r="N2" s="43">
        <v>1</v>
      </c>
      <c r="O2" s="27" t="s">
        <v>15</v>
      </c>
      <c r="P2" s="43">
        <v>1</v>
      </c>
      <c r="Q2" s="26" t="s">
        <v>16</v>
      </c>
      <c r="R2" s="43">
        <f>IF(ISERROR(FIND("SPL (sound pressure level) is always equal to PVL (particle velocity level)",Q2,1)),0,R$1)</f>
        <v>0</v>
      </c>
      <c r="S2" s="43">
        <f>IF(ISERROR(FIND("SPL is larger than PVL",Q2,1)),0,S$1)</f>
        <v>1</v>
      </c>
      <c r="T2" s="43">
        <f>IF(ISERROR(FIND("SIL (Sound Intensity Level ) can",Q2,1)),0,T$1)</f>
        <v>0</v>
      </c>
      <c r="U2" s="43">
        <f>IF(ISERROR(FIND("In a plane, progressive",Q2,1)),0,U$1)</f>
        <v>1</v>
      </c>
      <c r="V2" s="43">
        <f>IF(ISERROR(FIND("In the nearfield of a point source",Q2,1)),0,V$1)</f>
        <v>0</v>
      </c>
      <c r="W2" s="43">
        <f>IF(ISERROR(FIND("The power level Lw of",Q2,1)),0,W$1)</f>
        <v>0</v>
      </c>
      <c r="X2" s="26" t="s">
        <v>17</v>
      </c>
      <c r="Y2" s="43">
        <f>IF(ISERROR(FIND("selector of the measurement range",X2,1)),0,Y$1)</f>
        <v>0</v>
      </c>
      <c r="Z2" s="43">
        <f>IF(ISERROR(FIND("A-weighting filter",X2,1)),0,Z$1)</f>
        <v>1</v>
      </c>
      <c r="AA2" s="43">
        <f>IF(ISERROR(FIND("LIN filter",X2,1)),0,AA$1)</f>
        <v>0</v>
      </c>
      <c r="AB2" s="43">
        <f>IF(ISERROR(FIND("Octave or 1/3 octave",X2,1)),0,AB$1)</f>
        <v>-1</v>
      </c>
      <c r="AC2" s="43">
        <f>IF(ISERROR(FIND("Fast/Slow time constants",X2,1)),0,AC$1)</f>
        <v>1</v>
      </c>
      <c r="AD2" s="43">
        <f>IF(ISERROR(FIND("Digital interface",X2,1)),0,AD$1)</f>
        <v>0</v>
      </c>
      <c r="AE2" s="26" t="s">
        <v>18</v>
      </c>
      <c r="AF2" s="32">
        <f>10*LOG10((0.1+K2/100)/0.000000000001)-8-20*LOG10(10+I2)</f>
        <v>77.804948424016786</v>
      </c>
      <c r="AG2" s="26" t="s">
        <v>145</v>
      </c>
      <c r="AH2" s="28">
        <f>IF(AE2="",0,IF(EXACT(RIGHT(AE2,2),"dB"),IF(ABS(VALUE(LEFT(AE2,FIND(" ",AE2,1)))-AF2)&lt;=0.5,1,-1),-1))</f>
        <v>-1</v>
      </c>
      <c r="AI2" s="26" t="s">
        <v>19</v>
      </c>
      <c r="AJ2" s="32">
        <f>10*LOG10((0.1+K2/100)/0.000000000001)+10*LOG10(4/(0.16*(200+J2*10)/(2+H2/5)))</f>
        <v>105.64271430438563</v>
      </c>
      <c r="AK2" s="26" t="s">
        <v>145</v>
      </c>
      <c r="AL2" s="43">
        <f>IF(AI2="",0,IF(EXACT(RIGHT(AI2,2),"dB"),IF(ABS(VALUE(LEFT(AI2,FIND(" ",AI2,1)))-AJ2)&lt;=0.5,1,-1),-1))</f>
        <v>-1</v>
      </c>
      <c r="AM2" s="26" t="s">
        <v>20</v>
      </c>
      <c r="AN2" s="32">
        <f>10*LOG10((0.1+K2/100)/0.000000000001)+10*LOG10(2/(4*PI()*(0.5+K2/10)^2)+4/(0.16*(200+J2*10)/(2+H2/5)))</f>
        <v>109.30935506846156</v>
      </c>
      <c r="AO2" s="26" t="s">
        <v>145</v>
      </c>
      <c r="AP2" s="43">
        <f>IF(AM2="",0,IF(EXACT(RIGHT(AM2,2),"dB"),IF(ABS(VALUE(LEFT(AM2,FIND(" ",AM2,1)))-AN2)&lt;=0.5,1,-1),-1))</f>
        <v>-1</v>
      </c>
      <c r="AQ2" s="29"/>
      <c r="AR2" s="32">
        <f>7.173+70+J2</f>
        <v>84.173000000000002</v>
      </c>
      <c r="AS2" s="26" t="s">
        <v>156</v>
      </c>
      <c r="AT2" s="43">
        <f t="shared" ref="AT2:AT4" si="2">IF(AQ2="",0,IF(EXACT(RIGHT(AQ2,5),"dB(A)"),IF(ABS(VALUE(LEFT(AQ2,FIND(" ",AQ2,1)))-AR2)&lt;=0.5,1,-1),-1))</f>
        <v>0</v>
      </c>
      <c r="AU2" s="46">
        <f>L2+N2+P2+SUM(R2:W2)+SUM(Y2:AD2)+AH2+AL2+AP2+AT2</f>
        <v>4</v>
      </c>
    </row>
    <row r="3" spans="1:47" ht="15.75" customHeight="1" x14ac:dyDescent="0.2">
      <c r="A3" s="25">
        <v>2</v>
      </c>
      <c r="B3" s="30">
        <v>43413.716518402776</v>
      </c>
      <c r="C3" s="26" t="s">
        <v>21</v>
      </c>
      <c r="D3" s="26" t="s">
        <v>22</v>
      </c>
      <c r="E3" s="27">
        <v>288204</v>
      </c>
      <c r="F3" s="25">
        <f>INT(E3/100000)</f>
        <v>2</v>
      </c>
      <c r="G3" s="25">
        <f t="shared" si="0"/>
        <v>8</v>
      </c>
      <c r="H3" s="25">
        <f t="shared" si="1"/>
        <v>8</v>
      </c>
      <c r="I3" s="25">
        <f>INT(($E3-100000*$F3-10000*$G3-1000*$H3)/100)</f>
        <v>2</v>
      </c>
      <c r="J3" s="25">
        <f>INT(($E3-100000*$F3-10000*$G3-1000*$H3-100*$I3)/10)</f>
        <v>0</v>
      </c>
      <c r="K3" s="25">
        <f>INT(($E3-100000*$F3-10000*$G3-1000*$H3-100*$I3-10*$J3))</f>
        <v>4</v>
      </c>
      <c r="L3" s="43">
        <v>0</v>
      </c>
      <c r="M3" s="27" t="s">
        <v>14</v>
      </c>
      <c r="N3" s="43">
        <v>1</v>
      </c>
      <c r="O3" s="27" t="s">
        <v>15</v>
      </c>
      <c r="P3" s="43">
        <v>1</v>
      </c>
      <c r="Q3" s="26" t="s">
        <v>23</v>
      </c>
      <c r="R3" s="43">
        <f t="shared" ref="R3:R19" si="3">IF(ISERROR(FIND("SPL (sound pressure level) is always equal to PVL (particle velocity level)",Q3,1)),0,R$1)</f>
        <v>0</v>
      </c>
      <c r="S3" s="43">
        <f t="shared" ref="S3:S19" si="4">IF(ISERROR(FIND("SPL is larger than PVL",Q3,1)),0,S$1)</f>
        <v>0</v>
      </c>
      <c r="T3" s="43">
        <f t="shared" ref="T3:T19" si="5">IF(ISERROR(FIND("SIL (Sound Intensity Level ) can",Q3,1)),0,T$1)</f>
        <v>1</v>
      </c>
      <c r="U3" s="43">
        <f t="shared" ref="U3:U19" si="6">IF(ISERROR(FIND("In a plane, progressive",Q3,1)),0,U$1)</f>
        <v>1</v>
      </c>
      <c r="V3" s="43">
        <f t="shared" ref="V3:V19" si="7">IF(ISERROR(FIND("In the nearfield of a point source",Q3,1)),0,V$1)</f>
        <v>0</v>
      </c>
      <c r="W3" s="43">
        <f t="shared" ref="W3:W19" si="8">IF(ISERROR(FIND("The power level Lw of",Q3,1)),0,W$1)</f>
        <v>-1</v>
      </c>
      <c r="X3" s="26" t="s">
        <v>24</v>
      </c>
      <c r="Y3" s="43">
        <f t="shared" ref="Y3:Y19" si="9">IF(ISERROR(FIND("selector of the measurement range",X3,1)),0,Y$1)</f>
        <v>-1</v>
      </c>
      <c r="Z3" s="43">
        <f t="shared" ref="Z3:Z19" si="10">IF(ISERROR(FIND("A-weighting filter",X3,1)),0,Z$1)</f>
        <v>1</v>
      </c>
      <c r="AA3" s="43">
        <f t="shared" ref="AA3:AA19" si="11">IF(ISERROR(FIND("LIN filter",X3,1)),0,AA$1)</f>
        <v>0</v>
      </c>
      <c r="AB3" s="43">
        <f t="shared" ref="AB3:AB19" si="12">IF(ISERROR(FIND("Octave or 1/3 octave",X3,1)),0,AB$1)</f>
        <v>0</v>
      </c>
      <c r="AC3" s="43">
        <f t="shared" ref="AC3:AC19" si="13">IF(ISERROR(FIND("Fast/Slow time constants",X3,1)),0,AC$1)</f>
        <v>1</v>
      </c>
      <c r="AD3" s="43">
        <f t="shared" ref="AD3:AD19" si="14">IF(ISERROR(FIND("Digital interface",X3,1)),0,AD$1)</f>
        <v>0</v>
      </c>
      <c r="AE3" s="50" t="s">
        <v>184</v>
      </c>
      <c r="AF3" s="32">
        <f t="shared" ref="AF3:AF19" si="15">10*LOG10((0.1+K3/100)/0.000000000001)-8-20*LOG10(10+I3)</f>
        <v>81.87765543582988</v>
      </c>
      <c r="AG3" s="26" t="s">
        <v>145</v>
      </c>
      <c r="AH3" s="28">
        <f>IF(AE3="",0,IF(EXACT(RIGHT(AE3,2),"dB"),IF(ABS(VALUE(LEFT(AE3,FIND(" ",AE3,1)))-AF3)&lt;=0.5,1,-1),-1))</f>
        <v>1</v>
      </c>
      <c r="AI3" s="50" t="s">
        <v>185</v>
      </c>
      <c r="AJ3" s="32">
        <f t="shared" ref="AJ3:AJ19" si="16">10*LOG10((0.1+K3/100)/0.000000000001)+10*LOG10(4/(0.16*(200+J3*10)/(2+H3/5)))</f>
        <v>107.99340549453582</v>
      </c>
      <c r="AK3" s="26" t="s">
        <v>145</v>
      </c>
      <c r="AL3" s="43">
        <f>IF(AI3="",0,IF(EXACT(RIGHT(AI3,2),"dB"),IF(ABS(VALUE(LEFT(AI3,FIND(" ",AI3,1)))-AJ3)&lt;=0.5,1,-1),-1))</f>
        <v>1</v>
      </c>
      <c r="AM3" s="50" t="s">
        <v>186</v>
      </c>
      <c r="AN3" s="32">
        <f t="shared" ref="AN3:AN19" si="17">10*LOG10((0.1+K3/100)/0.000000000001)+10*LOG10(2/(4*PI()*(0.5+K3/10)^2)+4/(0.16*(200+J3*10)/(2+H3/5)))</f>
        <v>109.56688224253907</v>
      </c>
      <c r="AO3" s="26" t="s">
        <v>145</v>
      </c>
      <c r="AP3" s="43">
        <f>IF(AM3="",0,IF(EXACT(RIGHT(AM3,2),"dB"),IF(ABS(VALUE(LEFT(AM3,FIND(" ",AM3,1)))-AN3)&lt;=0.5,1,-1),-1))</f>
        <v>1</v>
      </c>
      <c r="AQ3" s="50" t="s">
        <v>187</v>
      </c>
      <c r="AR3" s="32">
        <f t="shared" ref="AR3:AR19" si="18">7.173+70+J3</f>
        <v>77.173000000000002</v>
      </c>
      <c r="AS3" s="26" t="s">
        <v>156</v>
      </c>
      <c r="AT3" s="43">
        <f t="shared" si="2"/>
        <v>1</v>
      </c>
      <c r="AU3" s="46">
        <f t="shared" ref="AU3:AU19" si="19">L3+N3+P3+SUM(R3:W3)+SUM(Y3:AD3)+AH3+AL3+AP3+AT3</f>
        <v>8</v>
      </c>
    </row>
    <row r="4" spans="1:47" ht="15.75" customHeight="1" x14ac:dyDescent="0.2">
      <c r="A4" s="25">
        <v>3</v>
      </c>
      <c r="B4" s="30">
        <v>43413.718829722224</v>
      </c>
      <c r="C4" s="26" t="s">
        <v>25</v>
      </c>
      <c r="D4" s="26" t="s">
        <v>26</v>
      </c>
      <c r="E4" s="27">
        <v>288169</v>
      </c>
      <c r="F4" s="25">
        <f t="shared" ref="F4:F19" si="20">INT(E4/100000)</f>
        <v>2</v>
      </c>
      <c r="G4" s="25">
        <f t="shared" ref="G4:G19" si="21">INT(($E4-100000*F4)/10000)</f>
        <v>8</v>
      </c>
      <c r="H4" s="25">
        <f t="shared" ref="H4:H19" si="22">INT(($E4-100000*F4-10000*G4)/1000)</f>
        <v>8</v>
      </c>
      <c r="I4" s="25">
        <f t="shared" ref="I4:I19" si="23">INT(($E4-100000*$F4-10000*$G4-1000*$H4)/100)</f>
        <v>1</v>
      </c>
      <c r="J4" s="25">
        <f t="shared" ref="J4:J19" si="24">INT(($E4-100000*$F4-10000*$G4-1000*$H4-100*$I4)/10)</f>
        <v>6</v>
      </c>
      <c r="K4" s="25">
        <f t="shared" ref="K4:K19" si="25">INT(($E4-100000*$F4-10000*$G4-1000*$H4-100*$I4-10*$J4))</f>
        <v>9</v>
      </c>
      <c r="L4" s="43">
        <v>2</v>
      </c>
      <c r="M4" s="27" t="s">
        <v>14</v>
      </c>
      <c r="N4" s="43">
        <v>1</v>
      </c>
      <c r="O4" s="27" t="s">
        <v>15</v>
      </c>
      <c r="P4" s="43">
        <v>1</v>
      </c>
      <c r="Q4" s="26" t="s">
        <v>23</v>
      </c>
      <c r="R4" s="43">
        <f t="shared" si="3"/>
        <v>0</v>
      </c>
      <c r="S4" s="43">
        <f t="shared" si="4"/>
        <v>0</v>
      </c>
      <c r="T4" s="43">
        <f t="shared" si="5"/>
        <v>1</v>
      </c>
      <c r="U4" s="43">
        <f t="shared" si="6"/>
        <v>1</v>
      </c>
      <c r="V4" s="43">
        <f t="shared" si="7"/>
        <v>0</v>
      </c>
      <c r="W4" s="43">
        <f t="shared" si="8"/>
        <v>-1</v>
      </c>
      <c r="X4" s="26" t="s">
        <v>24</v>
      </c>
      <c r="Y4" s="43">
        <f t="shared" si="9"/>
        <v>-1</v>
      </c>
      <c r="Z4" s="43">
        <f t="shared" si="10"/>
        <v>1</v>
      </c>
      <c r="AA4" s="43">
        <f t="shared" si="11"/>
        <v>0</v>
      </c>
      <c r="AB4" s="43">
        <f t="shared" si="12"/>
        <v>0</v>
      </c>
      <c r="AC4" s="43">
        <f t="shared" si="13"/>
        <v>1</v>
      </c>
      <c r="AD4" s="43">
        <f t="shared" si="14"/>
        <v>0</v>
      </c>
      <c r="AE4" s="26" t="s">
        <v>27</v>
      </c>
      <c r="AF4" s="32">
        <f t="shared" si="15"/>
        <v>83.959682306363774</v>
      </c>
      <c r="AG4" s="26" t="s">
        <v>145</v>
      </c>
      <c r="AH4" s="28">
        <f t="shared" ref="AH4:AH19" si="26">IF(AE4="",0,IF(EXACT(RIGHT(AE4,2),"dB"),IF(ABS(VALUE(LEFT(AE4,FIND(" ",AE4,1)))-AF4)&lt;=0.5,1,-1),-1))</f>
        <v>1</v>
      </c>
      <c r="AI4" s="26" t="s">
        <v>28</v>
      </c>
      <c r="AJ4" s="32">
        <f t="shared" si="16"/>
        <v>108.18022762421334</v>
      </c>
      <c r="AK4" s="26" t="s">
        <v>145</v>
      </c>
      <c r="AL4" s="43">
        <f t="shared" ref="AL4:AL19" si="27">IF(AI4="",0,IF(EXACT(RIGHT(AI4,2),"dB"),IF(ABS(VALUE(LEFT(AI4,FIND(" ",AI4,1)))-AJ4)&lt;=0.5,1,-1),-1))</f>
        <v>1</v>
      </c>
      <c r="AM4" s="26" t="s">
        <v>29</v>
      </c>
      <c r="AN4" s="32">
        <f t="shared" si="17"/>
        <v>109.09542743846517</v>
      </c>
      <c r="AO4" s="26" t="s">
        <v>145</v>
      </c>
      <c r="AP4" s="43">
        <f t="shared" ref="AP4:AP19" si="28">IF(AM4="",0,IF(EXACT(RIGHT(AM4,2),"dB"),IF(ABS(VALUE(LEFT(AM4,FIND(" ",AM4,1)))-AN4)&lt;=0.5,1,-1),-1))</f>
        <v>1</v>
      </c>
      <c r="AQ4" s="26" t="s">
        <v>30</v>
      </c>
      <c r="AR4" s="32">
        <f t="shared" si="18"/>
        <v>83.173000000000002</v>
      </c>
      <c r="AS4" s="26" t="s">
        <v>156</v>
      </c>
      <c r="AT4" s="43">
        <f t="shared" si="2"/>
        <v>-1</v>
      </c>
      <c r="AU4" s="46">
        <f t="shared" si="19"/>
        <v>8</v>
      </c>
    </row>
    <row r="5" spans="1:47" ht="15.75" customHeight="1" x14ac:dyDescent="0.2">
      <c r="A5" s="25">
        <v>4</v>
      </c>
      <c r="B5" s="30">
        <v>43413.719032430556</v>
      </c>
      <c r="C5" s="26" t="s">
        <v>31</v>
      </c>
      <c r="D5" s="26" t="s">
        <v>32</v>
      </c>
      <c r="E5" s="27">
        <v>281356</v>
      </c>
      <c r="F5" s="25">
        <f t="shared" si="20"/>
        <v>2</v>
      </c>
      <c r="G5" s="25">
        <f t="shared" si="21"/>
        <v>8</v>
      </c>
      <c r="H5" s="25">
        <f t="shared" si="22"/>
        <v>1</v>
      </c>
      <c r="I5" s="25">
        <f t="shared" si="23"/>
        <v>3</v>
      </c>
      <c r="J5" s="25">
        <f t="shared" si="24"/>
        <v>5</v>
      </c>
      <c r="K5" s="25">
        <f t="shared" si="25"/>
        <v>6</v>
      </c>
      <c r="L5" s="43">
        <v>2</v>
      </c>
      <c r="M5" s="27" t="s">
        <v>14</v>
      </c>
      <c r="N5" s="43">
        <v>1</v>
      </c>
      <c r="O5" s="27" t="s">
        <v>15</v>
      </c>
      <c r="P5" s="43">
        <v>1</v>
      </c>
      <c r="Q5" s="26" t="s">
        <v>33</v>
      </c>
      <c r="R5" s="43">
        <f t="shared" si="3"/>
        <v>0</v>
      </c>
      <c r="S5" s="43">
        <f t="shared" si="4"/>
        <v>1</v>
      </c>
      <c r="T5" s="43">
        <f t="shared" si="5"/>
        <v>0</v>
      </c>
      <c r="U5" s="43">
        <f t="shared" si="6"/>
        <v>1</v>
      </c>
      <c r="V5" s="43">
        <f t="shared" si="7"/>
        <v>0</v>
      </c>
      <c r="W5" s="43">
        <f t="shared" si="8"/>
        <v>-1</v>
      </c>
      <c r="X5" s="26" t="s">
        <v>34</v>
      </c>
      <c r="Y5" s="43">
        <f t="shared" si="9"/>
        <v>-1</v>
      </c>
      <c r="Z5" s="43">
        <f t="shared" si="10"/>
        <v>1</v>
      </c>
      <c r="AA5" s="43">
        <f t="shared" si="11"/>
        <v>0</v>
      </c>
      <c r="AB5" s="43">
        <f t="shared" si="12"/>
        <v>0</v>
      </c>
      <c r="AC5" s="43">
        <f t="shared" si="13"/>
        <v>1</v>
      </c>
      <c r="AD5" s="43">
        <f t="shared" si="14"/>
        <v>-1</v>
      </c>
      <c r="AE5" s="26" t="s">
        <v>35</v>
      </c>
      <c r="AF5" s="32">
        <f t="shared" si="15"/>
        <v>81.762332780422511</v>
      </c>
      <c r="AG5" s="26" t="s">
        <v>145</v>
      </c>
      <c r="AH5" s="28">
        <f t="shared" si="26"/>
        <v>1</v>
      </c>
      <c r="AI5" s="26" t="s">
        <v>36</v>
      </c>
      <c r="AJ5" s="32">
        <f t="shared" si="16"/>
        <v>105.46542663478131</v>
      </c>
      <c r="AK5" s="26" t="s">
        <v>145</v>
      </c>
      <c r="AL5" s="43">
        <f t="shared" si="27"/>
        <v>1</v>
      </c>
      <c r="AM5" s="26" t="s">
        <v>37</v>
      </c>
      <c r="AN5" s="32">
        <f t="shared" si="17"/>
        <v>107.50086096488883</v>
      </c>
      <c r="AO5" s="26" t="s">
        <v>145</v>
      </c>
      <c r="AP5" s="43">
        <f t="shared" si="28"/>
        <v>1</v>
      </c>
      <c r="AQ5" s="26" t="s">
        <v>38</v>
      </c>
      <c r="AR5" s="32">
        <f t="shared" si="18"/>
        <v>82.173000000000002</v>
      </c>
      <c r="AS5" s="26" t="s">
        <v>156</v>
      </c>
      <c r="AT5" s="43">
        <f>IF(AQ5="",0,IF(EXACT(RIGHT(AQ5,5),"dB(A)"),IF(ABS(VALUE(LEFT(AQ5,FIND(" ",AQ5,1)))-AR5)&lt;=0.5,1,-1),-1))</f>
        <v>1</v>
      </c>
      <c r="AU5" s="46">
        <f t="shared" si="19"/>
        <v>9</v>
      </c>
    </row>
    <row r="6" spans="1:47" ht="15.75" customHeight="1" x14ac:dyDescent="0.2">
      <c r="A6" s="25">
        <v>5</v>
      </c>
      <c r="B6" s="30">
        <v>43413.721588113425</v>
      </c>
      <c r="C6" s="26" t="s">
        <v>39</v>
      </c>
      <c r="D6" s="26" t="s">
        <v>40</v>
      </c>
      <c r="E6" s="27">
        <v>299225</v>
      </c>
      <c r="F6" s="25">
        <f t="shared" si="20"/>
        <v>2</v>
      </c>
      <c r="G6" s="25">
        <f t="shared" si="21"/>
        <v>9</v>
      </c>
      <c r="H6" s="25">
        <f t="shared" si="22"/>
        <v>9</v>
      </c>
      <c r="I6" s="25">
        <f t="shared" si="23"/>
        <v>2</v>
      </c>
      <c r="J6" s="25">
        <f t="shared" si="24"/>
        <v>2</v>
      </c>
      <c r="K6" s="25">
        <f t="shared" si="25"/>
        <v>5</v>
      </c>
      <c r="L6" s="43">
        <v>2</v>
      </c>
      <c r="M6" s="27" t="s">
        <v>14</v>
      </c>
      <c r="N6" s="43">
        <v>1</v>
      </c>
      <c r="O6" s="27" t="s">
        <v>15</v>
      </c>
      <c r="P6" s="43">
        <v>1</v>
      </c>
      <c r="Q6" s="26" t="s">
        <v>16</v>
      </c>
      <c r="R6" s="43">
        <f t="shared" si="3"/>
        <v>0</v>
      </c>
      <c r="S6" s="43">
        <f t="shared" si="4"/>
        <v>1</v>
      </c>
      <c r="T6" s="43">
        <f t="shared" si="5"/>
        <v>0</v>
      </c>
      <c r="U6" s="43">
        <f t="shared" si="6"/>
        <v>1</v>
      </c>
      <c r="V6" s="43">
        <f t="shared" si="7"/>
        <v>0</v>
      </c>
      <c r="W6" s="43">
        <f t="shared" si="8"/>
        <v>0</v>
      </c>
      <c r="X6" s="26" t="s">
        <v>41</v>
      </c>
      <c r="Y6" s="43">
        <f t="shared" si="9"/>
        <v>-1</v>
      </c>
      <c r="Z6" s="43">
        <f t="shared" si="10"/>
        <v>0</v>
      </c>
      <c r="AA6" s="43">
        <f t="shared" si="11"/>
        <v>0</v>
      </c>
      <c r="AB6" s="43">
        <f t="shared" si="12"/>
        <v>-1</v>
      </c>
      <c r="AC6" s="43">
        <f t="shared" si="13"/>
        <v>1</v>
      </c>
      <c r="AD6" s="43">
        <f t="shared" si="14"/>
        <v>-1</v>
      </c>
      <c r="AE6" s="42" t="s">
        <v>42</v>
      </c>
      <c r="AF6" s="32">
        <f t="shared" si="15"/>
        <v>82.177287669604311</v>
      </c>
      <c r="AG6" s="26" t="s">
        <v>145</v>
      </c>
      <c r="AH6" s="28">
        <v>-1</v>
      </c>
      <c r="AI6" s="42" t="s">
        <v>43</v>
      </c>
      <c r="AJ6" s="32">
        <f t="shared" si="16"/>
        <v>108.11392183522322</v>
      </c>
      <c r="AK6" s="26" t="s">
        <v>145</v>
      </c>
      <c r="AL6" s="43">
        <v>1</v>
      </c>
      <c r="AM6" s="42" t="s">
        <v>44</v>
      </c>
      <c r="AN6" s="32">
        <f t="shared" si="17"/>
        <v>109.47658990413009</v>
      </c>
      <c r="AO6" s="26" t="s">
        <v>145</v>
      </c>
      <c r="AP6" s="43">
        <v>1</v>
      </c>
      <c r="AQ6" s="42" t="s">
        <v>45</v>
      </c>
      <c r="AR6" s="32">
        <f t="shared" si="18"/>
        <v>79.173000000000002</v>
      </c>
      <c r="AS6" s="26" t="s">
        <v>156</v>
      </c>
      <c r="AT6" s="43">
        <f t="shared" ref="AT6:AT19" si="29">IF(AQ6="",0,IF(EXACT(RIGHT(AQ6,5),"dB(A)"),IF(ABS(VALUE(LEFT(AQ6,FIND(" ",AQ6,1)))-AR6)&lt;=0.5,1,-1),-1))</f>
        <v>-1</v>
      </c>
      <c r="AU6" s="46">
        <f t="shared" si="19"/>
        <v>4</v>
      </c>
    </row>
    <row r="7" spans="1:47" ht="15.75" customHeight="1" x14ac:dyDescent="0.2">
      <c r="A7" s="25">
        <v>6</v>
      </c>
      <c r="B7" s="30">
        <v>43413.723432106483</v>
      </c>
      <c r="C7" s="26" t="s">
        <v>46</v>
      </c>
      <c r="D7" s="26" t="s">
        <v>47</v>
      </c>
      <c r="E7" s="27">
        <v>289671</v>
      </c>
      <c r="F7" s="25">
        <f t="shared" si="20"/>
        <v>2</v>
      </c>
      <c r="G7" s="25">
        <f t="shared" si="21"/>
        <v>8</v>
      </c>
      <c r="H7" s="25">
        <f t="shared" si="22"/>
        <v>9</v>
      </c>
      <c r="I7" s="25">
        <f t="shared" si="23"/>
        <v>6</v>
      </c>
      <c r="J7" s="25">
        <f t="shared" si="24"/>
        <v>7</v>
      </c>
      <c r="K7" s="25">
        <f t="shared" si="25"/>
        <v>1</v>
      </c>
      <c r="L7" s="43">
        <v>2</v>
      </c>
      <c r="M7" s="27" t="s">
        <v>14</v>
      </c>
      <c r="N7" s="43">
        <v>1</v>
      </c>
      <c r="O7" s="27" t="s">
        <v>15</v>
      </c>
      <c r="P7" s="43">
        <v>1</v>
      </c>
      <c r="Q7" s="26" t="s">
        <v>48</v>
      </c>
      <c r="R7" s="43">
        <f t="shared" si="3"/>
        <v>0</v>
      </c>
      <c r="S7" s="43">
        <f t="shared" si="4"/>
        <v>0</v>
      </c>
      <c r="T7" s="43">
        <f t="shared" si="5"/>
        <v>0</v>
      </c>
      <c r="U7" s="43">
        <f t="shared" si="6"/>
        <v>1</v>
      </c>
      <c r="V7" s="43">
        <f t="shared" si="7"/>
        <v>1</v>
      </c>
      <c r="W7" s="43">
        <f t="shared" si="8"/>
        <v>-1</v>
      </c>
      <c r="X7" s="26" t="s">
        <v>49</v>
      </c>
      <c r="Y7" s="43">
        <f t="shared" si="9"/>
        <v>-1</v>
      </c>
      <c r="Z7" s="43">
        <f t="shared" si="10"/>
        <v>1</v>
      </c>
      <c r="AA7" s="43">
        <f t="shared" si="11"/>
        <v>-1</v>
      </c>
      <c r="AB7" s="43">
        <f t="shared" si="12"/>
        <v>0</v>
      </c>
      <c r="AC7" s="43">
        <f t="shared" si="13"/>
        <v>1</v>
      </c>
      <c r="AD7" s="43">
        <f t="shared" si="14"/>
        <v>0</v>
      </c>
      <c r="AE7" s="26" t="s">
        <v>50</v>
      </c>
      <c r="AF7" s="32">
        <f t="shared" si="15"/>
        <v>78.33152719846376</v>
      </c>
      <c r="AG7" s="26" t="s">
        <v>145</v>
      </c>
      <c r="AH7" s="28">
        <f t="shared" si="26"/>
        <v>1</v>
      </c>
      <c r="AI7" s="26" t="s">
        <v>51</v>
      </c>
      <c r="AJ7" s="32">
        <f t="shared" si="16"/>
        <v>105.87752526288087</v>
      </c>
      <c r="AK7" s="26" t="s">
        <v>145</v>
      </c>
      <c r="AL7" s="43">
        <f t="shared" si="27"/>
        <v>1</v>
      </c>
      <c r="AM7" s="26" t="s">
        <v>52</v>
      </c>
      <c r="AN7" s="32">
        <f t="shared" si="17"/>
        <v>109.41185245249353</v>
      </c>
      <c r="AO7" s="26" t="s">
        <v>145</v>
      </c>
      <c r="AP7" s="43">
        <f t="shared" si="28"/>
        <v>1</v>
      </c>
      <c r="AQ7" s="26" t="s">
        <v>53</v>
      </c>
      <c r="AR7" s="32">
        <f t="shared" si="18"/>
        <v>84.173000000000002</v>
      </c>
      <c r="AS7" s="26" t="s">
        <v>156</v>
      </c>
      <c r="AT7" s="43">
        <f t="shared" si="29"/>
        <v>1</v>
      </c>
      <c r="AU7" s="46">
        <f t="shared" si="19"/>
        <v>9</v>
      </c>
    </row>
    <row r="8" spans="1:47" ht="15.75" customHeight="1" x14ac:dyDescent="0.2">
      <c r="A8" s="25">
        <v>7</v>
      </c>
      <c r="B8" s="30">
        <v>43413.723463263887</v>
      </c>
      <c r="C8" s="26" t="s">
        <v>54</v>
      </c>
      <c r="D8" s="26" t="s">
        <v>55</v>
      </c>
      <c r="E8" s="27">
        <v>289673</v>
      </c>
      <c r="F8" s="25">
        <f t="shared" si="20"/>
        <v>2</v>
      </c>
      <c r="G8" s="25">
        <f t="shared" si="21"/>
        <v>8</v>
      </c>
      <c r="H8" s="25">
        <f t="shared" si="22"/>
        <v>9</v>
      </c>
      <c r="I8" s="25">
        <f t="shared" si="23"/>
        <v>6</v>
      </c>
      <c r="J8" s="25">
        <f t="shared" si="24"/>
        <v>7</v>
      </c>
      <c r="K8" s="25">
        <f t="shared" si="25"/>
        <v>3</v>
      </c>
      <c r="L8" s="43">
        <v>2</v>
      </c>
      <c r="M8" s="27" t="s">
        <v>14</v>
      </c>
      <c r="N8" s="43">
        <v>1</v>
      </c>
      <c r="O8" s="27" t="s">
        <v>15</v>
      </c>
      <c r="P8" s="43">
        <v>1</v>
      </c>
      <c r="Q8" s="26" t="s">
        <v>23</v>
      </c>
      <c r="R8" s="43">
        <f t="shared" si="3"/>
        <v>0</v>
      </c>
      <c r="S8" s="43">
        <f t="shared" si="4"/>
        <v>0</v>
      </c>
      <c r="T8" s="43">
        <f t="shared" si="5"/>
        <v>1</v>
      </c>
      <c r="U8" s="43">
        <f t="shared" si="6"/>
        <v>1</v>
      </c>
      <c r="V8" s="43">
        <f t="shared" si="7"/>
        <v>0</v>
      </c>
      <c r="W8" s="43">
        <f t="shared" si="8"/>
        <v>-1</v>
      </c>
      <c r="X8" s="26" t="s">
        <v>24</v>
      </c>
      <c r="Y8" s="43">
        <f t="shared" si="9"/>
        <v>-1</v>
      </c>
      <c r="Z8" s="43">
        <f t="shared" si="10"/>
        <v>1</v>
      </c>
      <c r="AA8" s="43">
        <f t="shared" si="11"/>
        <v>0</v>
      </c>
      <c r="AB8" s="43">
        <f t="shared" si="12"/>
        <v>0</v>
      </c>
      <c r="AC8" s="43">
        <f t="shared" si="13"/>
        <v>1</v>
      </c>
      <c r="AD8" s="43">
        <f t="shared" si="14"/>
        <v>0</v>
      </c>
      <c r="AE8" s="26" t="s">
        <v>56</v>
      </c>
      <c r="AF8" s="32">
        <f t="shared" si="15"/>
        <v>79.057033869949862</v>
      </c>
      <c r="AG8" s="26" t="s">
        <v>145</v>
      </c>
      <c r="AH8" s="28">
        <f t="shared" si="26"/>
        <v>-1</v>
      </c>
      <c r="AI8" s="26" t="s">
        <v>57</v>
      </c>
      <c r="AJ8" s="32">
        <f t="shared" si="16"/>
        <v>106.60303193436697</v>
      </c>
      <c r="AK8" s="26" t="s">
        <v>145</v>
      </c>
      <c r="AL8" s="43">
        <f t="shared" si="27"/>
        <v>-1</v>
      </c>
      <c r="AM8" s="26" t="s">
        <v>58</v>
      </c>
      <c r="AN8" s="32">
        <f t="shared" si="17"/>
        <v>108.92479109077919</v>
      </c>
      <c r="AO8" s="26" t="s">
        <v>145</v>
      </c>
      <c r="AP8" s="43">
        <f t="shared" si="28"/>
        <v>-1</v>
      </c>
      <c r="AQ8" s="26" t="s">
        <v>53</v>
      </c>
      <c r="AR8" s="32">
        <f t="shared" si="18"/>
        <v>84.173000000000002</v>
      </c>
      <c r="AS8" s="26" t="s">
        <v>156</v>
      </c>
      <c r="AT8" s="43">
        <f t="shared" si="29"/>
        <v>1</v>
      </c>
      <c r="AU8" s="46">
        <f t="shared" si="19"/>
        <v>4</v>
      </c>
    </row>
    <row r="9" spans="1:47" ht="15.75" customHeight="1" x14ac:dyDescent="0.2">
      <c r="A9" s="25">
        <v>8</v>
      </c>
      <c r="B9" s="30">
        <v>43413.723734861109</v>
      </c>
      <c r="C9" s="26" t="s">
        <v>59</v>
      </c>
      <c r="D9" s="26" t="s">
        <v>60</v>
      </c>
      <c r="E9" s="27">
        <v>293072</v>
      </c>
      <c r="F9" s="25">
        <f t="shared" si="20"/>
        <v>2</v>
      </c>
      <c r="G9" s="25">
        <f t="shared" si="21"/>
        <v>9</v>
      </c>
      <c r="H9" s="25">
        <f t="shared" si="22"/>
        <v>3</v>
      </c>
      <c r="I9" s="25">
        <f t="shared" si="23"/>
        <v>0</v>
      </c>
      <c r="J9" s="25">
        <f t="shared" si="24"/>
        <v>7</v>
      </c>
      <c r="K9" s="25">
        <f t="shared" si="25"/>
        <v>2</v>
      </c>
      <c r="L9" s="43">
        <v>2</v>
      </c>
      <c r="M9" s="27" t="s">
        <v>14</v>
      </c>
      <c r="N9" s="43">
        <v>1</v>
      </c>
      <c r="O9" s="27" t="s">
        <v>15</v>
      </c>
      <c r="P9" s="43">
        <v>1</v>
      </c>
      <c r="Q9" s="26" t="s">
        <v>61</v>
      </c>
      <c r="R9" s="43">
        <f t="shared" si="3"/>
        <v>0</v>
      </c>
      <c r="S9" s="43">
        <f t="shared" si="4"/>
        <v>0</v>
      </c>
      <c r="T9" s="43">
        <f t="shared" si="5"/>
        <v>1</v>
      </c>
      <c r="U9" s="43">
        <f t="shared" si="6"/>
        <v>1</v>
      </c>
      <c r="V9" s="43">
        <f t="shared" si="7"/>
        <v>1</v>
      </c>
      <c r="W9" s="43">
        <f t="shared" si="8"/>
        <v>0</v>
      </c>
      <c r="X9" s="26" t="s">
        <v>49</v>
      </c>
      <c r="Y9" s="43">
        <f t="shared" si="9"/>
        <v>-1</v>
      </c>
      <c r="Z9" s="43">
        <f t="shared" si="10"/>
        <v>1</v>
      </c>
      <c r="AA9" s="43">
        <f t="shared" si="11"/>
        <v>-1</v>
      </c>
      <c r="AB9" s="43">
        <f t="shared" si="12"/>
        <v>0</v>
      </c>
      <c r="AC9" s="43">
        <f t="shared" si="13"/>
        <v>1</v>
      </c>
      <c r="AD9" s="43">
        <f t="shared" si="14"/>
        <v>0</v>
      </c>
      <c r="AE9" s="26" t="s">
        <v>62</v>
      </c>
      <c r="AF9" s="32">
        <f t="shared" si="15"/>
        <v>82.791812460476251</v>
      </c>
      <c r="AG9" s="26" t="s">
        <v>145</v>
      </c>
      <c r="AH9" s="28">
        <f t="shared" si="26"/>
        <v>1</v>
      </c>
      <c r="AI9" s="26" t="s">
        <v>63</v>
      </c>
      <c r="AJ9" s="32">
        <f t="shared" si="16"/>
        <v>104.60730838531494</v>
      </c>
      <c r="AK9" s="26" t="s">
        <v>145</v>
      </c>
      <c r="AL9" s="43">
        <f t="shared" si="27"/>
        <v>1</v>
      </c>
      <c r="AM9" s="26" t="s">
        <v>64</v>
      </c>
      <c r="AN9" s="32">
        <f t="shared" si="17"/>
        <v>108.31649754773454</v>
      </c>
      <c r="AO9" s="26" t="s">
        <v>145</v>
      </c>
      <c r="AP9" s="43">
        <f t="shared" si="28"/>
        <v>-1</v>
      </c>
      <c r="AQ9" s="26" t="s">
        <v>53</v>
      </c>
      <c r="AR9" s="32">
        <f t="shared" si="18"/>
        <v>84.173000000000002</v>
      </c>
      <c r="AS9" s="26" t="s">
        <v>156</v>
      </c>
      <c r="AT9" s="43">
        <f t="shared" si="29"/>
        <v>1</v>
      </c>
      <c r="AU9" s="46">
        <f t="shared" si="19"/>
        <v>9</v>
      </c>
    </row>
    <row r="10" spans="1:47" ht="15.75" customHeight="1" x14ac:dyDescent="0.2">
      <c r="A10" s="25">
        <v>9</v>
      </c>
      <c r="B10" s="30">
        <v>43413.724112731477</v>
      </c>
      <c r="C10" s="26" t="s">
        <v>65</v>
      </c>
      <c r="D10" s="26" t="s">
        <v>66</v>
      </c>
      <c r="E10" s="27">
        <v>299229</v>
      </c>
      <c r="F10" s="25">
        <f t="shared" si="20"/>
        <v>2</v>
      </c>
      <c r="G10" s="25">
        <f t="shared" si="21"/>
        <v>9</v>
      </c>
      <c r="H10" s="25">
        <f t="shared" si="22"/>
        <v>9</v>
      </c>
      <c r="I10" s="25">
        <f t="shared" si="23"/>
        <v>2</v>
      </c>
      <c r="J10" s="25">
        <f t="shared" si="24"/>
        <v>2</v>
      </c>
      <c r="K10" s="25">
        <f t="shared" si="25"/>
        <v>9</v>
      </c>
      <c r="L10" s="43">
        <v>2</v>
      </c>
      <c r="M10" s="27" t="s">
        <v>14</v>
      </c>
      <c r="N10" s="43">
        <v>1</v>
      </c>
      <c r="O10" s="27" t="s">
        <v>67</v>
      </c>
      <c r="P10" s="43">
        <v>-1</v>
      </c>
      <c r="Q10" s="26" t="s">
        <v>68</v>
      </c>
      <c r="R10" s="43">
        <f t="shared" si="3"/>
        <v>0</v>
      </c>
      <c r="S10" s="43">
        <f t="shared" si="4"/>
        <v>1</v>
      </c>
      <c r="T10" s="43">
        <f t="shared" si="5"/>
        <v>1</v>
      </c>
      <c r="U10" s="43">
        <f t="shared" si="6"/>
        <v>1</v>
      </c>
      <c r="V10" s="43">
        <f t="shared" si="7"/>
        <v>0</v>
      </c>
      <c r="W10" s="43">
        <f t="shared" si="8"/>
        <v>-1</v>
      </c>
      <c r="X10" s="26" t="s">
        <v>24</v>
      </c>
      <c r="Y10" s="43">
        <f t="shared" si="9"/>
        <v>-1</v>
      </c>
      <c r="Z10" s="43">
        <f t="shared" si="10"/>
        <v>1</v>
      </c>
      <c r="AA10" s="43">
        <f t="shared" si="11"/>
        <v>0</v>
      </c>
      <c r="AB10" s="43">
        <f t="shared" si="12"/>
        <v>0</v>
      </c>
      <c r="AC10" s="43">
        <f t="shared" si="13"/>
        <v>1</v>
      </c>
      <c r="AD10" s="43">
        <f t="shared" si="14"/>
        <v>0</v>
      </c>
      <c r="AE10" s="26" t="s">
        <v>69</v>
      </c>
      <c r="AF10" s="32">
        <f t="shared" si="15"/>
        <v>83.203911088575779</v>
      </c>
      <c r="AG10" s="26" t="s">
        <v>145</v>
      </c>
      <c r="AH10" s="28">
        <f t="shared" si="26"/>
        <v>-1</v>
      </c>
      <c r="AI10" s="29"/>
      <c r="AJ10" s="32">
        <f t="shared" si="16"/>
        <v>109.14054525419469</v>
      </c>
      <c r="AK10" s="26" t="s">
        <v>145</v>
      </c>
      <c r="AL10" s="43">
        <f t="shared" si="27"/>
        <v>0</v>
      </c>
      <c r="AM10" s="29"/>
      <c r="AN10" s="32">
        <f t="shared" si="17"/>
        <v>109.88887629273485</v>
      </c>
      <c r="AO10" s="26" t="s">
        <v>145</v>
      </c>
      <c r="AP10" s="43">
        <f t="shared" si="28"/>
        <v>0</v>
      </c>
      <c r="AQ10" s="29"/>
      <c r="AR10" s="32">
        <f t="shared" si="18"/>
        <v>79.173000000000002</v>
      </c>
      <c r="AS10" s="26" t="s">
        <v>156</v>
      </c>
      <c r="AT10" s="43">
        <f t="shared" si="29"/>
        <v>0</v>
      </c>
      <c r="AU10" s="46">
        <f t="shared" si="19"/>
        <v>4</v>
      </c>
    </row>
    <row r="11" spans="1:47" ht="15.75" customHeight="1" x14ac:dyDescent="0.2">
      <c r="A11" s="25">
        <v>10</v>
      </c>
      <c r="B11" s="30">
        <v>43413.724488148146</v>
      </c>
      <c r="C11" s="26" t="s">
        <v>70</v>
      </c>
      <c r="D11" s="26" t="s">
        <v>71</v>
      </c>
      <c r="E11" s="27">
        <v>288949</v>
      </c>
      <c r="F11" s="25">
        <f t="shared" si="20"/>
        <v>2</v>
      </c>
      <c r="G11" s="25">
        <f t="shared" si="21"/>
        <v>8</v>
      </c>
      <c r="H11" s="25">
        <f t="shared" si="22"/>
        <v>8</v>
      </c>
      <c r="I11" s="25">
        <f t="shared" si="23"/>
        <v>9</v>
      </c>
      <c r="J11" s="25">
        <f t="shared" si="24"/>
        <v>4</v>
      </c>
      <c r="K11" s="25">
        <f t="shared" si="25"/>
        <v>9</v>
      </c>
      <c r="L11" s="43">
        <v>2</v>
      </c>
      <c r="M11" s="27" t="s">
        <v>14</v>
      </c>
      <c r="N11" s="43">
        <v>1</v>
      </c>
      <c r="O11" s="27" t="s">
        <v>15</v>
      </c>
      <c r="P11" s="43">
        <v>1</v>
      </c>
      <c r="Q11" s="26" t="s">
        <v>72</v>
      </c>
      <c r="R11" s="43">
        <f t="shared" si="3"/>
        <v>0</v>
      </c>
      <c r="S11" s="43">
        <f t="shared" si="4"/>
        <v>0</v>
      </c>
      <c r="T11" s="43">
        <f t="shared" si="5"/>
        <v>1</v>
      </c>
      <c r="U11" s="43">
        <f t="shared" si="6"/>
        <v>1</v>
      </c>
      <c r="V11" s="43">
        <f t="shared" si="7"/>
        <v>0</v>
      </c>
      <c r="W11" s="43">
        <f t="shared" si="8"/>
        <v>0</v>
      </c>
      <c r="X11" s="26" t="s">
        <v>73</v>
      </c>
      <c r="Y11" s="43">
        <f t="shared" si="9"/>
        <v>0</v>
      </c>
      <c r="Z11" s="43">
        <f t="shared" si="10"/>
        <v>1</v>
      </c>
      <c r="AA11" s="43">
        <f t="shared" si="11"/>
        <v>-1</v>
      </c>
      <c r="AB11" s="43">
        <f t="shared" si="12"/>
        <v>0</v>
      </c>
      <c r="AC11" s="43">
        <f t="shared" si="13"/>
        <v>1</v>
      </c>
      <c r="AD11" s="43">
        <f t="shared" si="14"/>
        <v>0</v>
      </c>
      <c r="AE11" s="26" t="s">
        <v>74</v>
      </c>
      <c r="AF11" s="32">
        <f t="shared" si="15"/>
        <v>79.212463990471704</v>
      </c>
      <c r="AG11" s="26" t="s">
        <v>145</v>
      </c>
      <c r="AH11" s="28">
        <f t="shared" si="26"/>
        <v>1</v>
      </c>
      <c r="AI11" s="26" t="s">
        <v>75</v>
      </c>
      <c r="AJ11" s="32">
        <f t="shared" si="16"/>
        <v>108.52784868680547</v>
      </c>
      <c r="AK11" s="26" t="s">
        <v>145</v>
      </c>
      <c r="AL11" s="43">
        <f t="shared" si="27"/>
        <v>-1</v>
      </c>
      <c r="AM11" s="26" t="s">
        <v>76</v>
      </c>
      <c r="AN11" s="32">
        <f t="shared" si="17"/>
        <v>109.37910311366821</v>
      </c>
      <c r="AO11" s="26" t="s">
        <v>145</v>
      </c>
      <c r="AP11" s="43">
        <f t="shared" si="28"/>
        <v>-1</v>
      </c>
      <c r="AQ11" s="29"/>
      <c r="AR11" s="32">
        <f t="shared" si="18"/>
        <v>81.173000000000002</v>
      </c>
      <c r="AS11" s="26" t="s">
        <v>156</v>
      </c>
      <c r="AT11" s="43">
        <f t="shared" si="29"/>
        <v>0</v>
      </c>
      <c r="AU11" s="46">
        <f t="shared" si="19"/>
        <v>6</v>
      </c>
    </row>
    <row r="12" spans="1:47" ht="15.75" customHeight="1" x14ac:dyDescent="0.2">
      <c r="A12" s="25">
        <v>11</v>
      </c>
      <c r="B12" s="30">
        <v>43413.724896238426</v>
      </c>
      <c r="C12" s="26" t="s">
        <v>77</v>
      </c>
      <c r="D12" s="26" t="s">
        <v>78</v>
      </c>
      <c r="E12" s="27">
        <v>289060</v>
      </c>
      <c r="F12" s="25">
        <f t="shared" si="20"/>
        <v>2</v>
      </c>
      <c r="G12" s="25">
        <f t="shared" si="21"/>
        <v>8</v>
      </c>
      <c r="H12" s="25">
        <f t="shared" si="22"/>
        <v>9</v>
      </c>
      <c r="I12" s="25">
        <f t="shared" si="23"/>
        <v>0</v>
      </c>
      <c r="J12" s="25">
        <f t="shared" si="24"/>
        <v>6</v>
      </c>
      <c r="K12" s="25">
        <f t="shared" si="25"/>
        <v>0</v>
      </c>
      <c r="L12" s="43">
        <v>2</v>
      </c>
      <c r="M12" s="27" t="s">
        <v>14</v>
      </c>
      <c r="N12" s="43">
        <v>1</v>
      </c>
      <c r="O12" s="27" t="s">
        <v>15</v>
      </c>
      <c r="P12" s="43">
        <v>1</v>
      </c>
      <c r="Q12" s="26" t="s">
        <v>61</v>
      </c>
      <c r="R12" s="43">
        <f t="shared" si="3"/>
        <v>0</v>
      </c>
      <c r="S12" s="43">
        <f t="shared" si="4"/>
        <v>0</v>
      </c>
      <c r="T12" s="43">
        <f t="shared" si="5"/>
        <v>1</v>
      </c>
      <c r="U12" s="43">
        <f t="shared" si="6"/>
        <v>1</v>
      </c>
      <c r="V12" s="43">
        <f t="shared" si="7"/>
        <v>1</v>
      </c>
      <c r="W12" s="43">
        <f t="shared" si="8"/>
        <v>0</v>
      </c>
      <c r="X12" s="26" t="s">
        <v>73</v>
      </c>
      <c r="Y12" s="43">
        <f t="shared" si="9"/>
        <v>0</v>
      </c>
      <c r="Z12" s="43">
        <f t="shared" si="10"/>
        <v>1</v>
      </c>
      <c r="AA12" s="43">
        <f t="shared" si="11"/>
        <v>-1</v>
      </c>
      <c r="AB12" s="43">
        <f t="shared" si="12"/>
        <v>0</v>
      </c>
      <c r="AC12" s="43">
        <f t="shared" si="13"/>
        <v>1</v>
      </c>
      <c r="AD12" s="43">
        <f t="shared" si="14"/>
        <v>0</v>
      </c>
      <c r="AE12" s="41" t="s">
        <v>159</v>
      </c>
      <c r="AF12" s="32">
        <f t="shared" si="15"/>
        <v>82</v>
      </c>
      <c r="AG12" s="26" t="s">
        <v>145</v>
      </c>
      <c r="AH12" s="28">
        <v>0</v>
      </c>
      <c r="AI12" s="42" t="s">
        <v>79</v>
      </c>
      <c r="AJ12" s="32">
        <f t="shared" si="16"/>
        <v>105.62750257318029</v>
      </c>
      <c r="AK12" s="26" t="s">
        <v>145</v>
      </c>
      <c r="AL12" s="43">
        <v>-1</v>
      </c>
      <c r="AM12" s="42" t="s">
        <v>80</v>
      </c>
      <c r="AN12" s="32">
        <f t="shared" si="17"/>
        <v>110.00869623300083</v>
      </c>
      <c r="AO12" s="26" t="s">
        <v>145</v>
      </c>
      <c r="AP12" s="43">
        <v>-1</v>
      </c>
      <c r="AQ12" s="29"/>
      <c r="AR12" s="32">
        <f t="shared" si="18"/>
        <v>83.173000000000002</v>
      </c>
      <c r="AS12" s="26" t="s">
        <v>156</v>
      </c>
      <c r="AT12" s="43">
        <f t="shared" si="29"/>
        <v>0</v>
      </c>
      <c r="AU12" s="46">
        <f t="shared" si="19"/>
        <v>6</v>
      </c>
    </row>
    <row r="13" spans="1:47" ht="15.75" customHeight="1" x14ac:dyDescent="0.2">
      <c r="A13" s="25">
        <v>12</v>
      </c>
      <c r="B13" s="30">
        <v>43413.724956030092</v>
      </c>
      <c r="C13" s="26" t="s">
        <v>81</v>
      </c>
      <c r="D13" s="26" t="s">
        <v>82</v>
      </c>
      <c r="E13" s="27">
        <v>289723</v>
      </c>
      <c r="F13" s="25">
        <f t="shared" si="20"/>
        <v>2</v>
      </c>
      <c r="G13" s="25">
        <f t="shared" si="21"/>
        <v>8</v>
      </c>
      <c r="H13" s="25">
        <f t="shared" si="22"/>
        <v>9</v>
      </c>
      <c r="I13" s="25">
        <f t="shared" si="23"/>
        <v>7</v>
      </c>
      <c r="J13" s="25">
        <f t="shared" si="24"/>
        <v>2</v>
      </c>
      <c r="K13" s="25">
        <f t="shared" si="25"/>
        <v>3</v>
      </c>
      <c r="L13" s="43">
        <v>2</v>
      </c>
      <c r="M13" s="27" t="s">
        <v>14</v>
      </c>
      <c r="N13" s="43">
        <v>1</v>
      </c>
      <c r="O13" s="27" t="s">
        <v>15</v>
      </c>
      <c r="P13" s="43">
        <v>1</v>
      </c>
      <c r="Q13" s="26" t="s">
        <v>72</v>
      </c>
      <c r="R13" s="43">
        <f t="shared" si="3"/>
        <v>0</v>
      </c>
      <c r="S13" s="43">
        <f t="shared" si="4"/>
        <v>0</v>
      </c>
      <c r="T13" s="43">
        <f t="shared" si="5"/>
        <v>1</v>
      </c>
      <c r="U13" s="43">
        <f t="shared" si="6"/>
        <v>1</v>
      </c>
      <c r="V13" s="43">
        <f t="shared" si="7"/>
        <v>0</v>
      </c>
      <c r="W13" s="43">
        <f t="shared" si="8"/>
        <v>0</v>
      </c>
      <c r="X13" s="26" t="s">
        <v>73</v>
      </c>
      <c r="Y13" s="43">
        <f t="shared" si="9"/>
        <v>0</v>
      </c>
      <c r="Z13" s="43">
        <f t="shared" si="10"/>
        <v>1</v>
      </c>
      <c r="AA13" s="43">
        <f t="shared" si="11"/>
        <v>-1</v>
      </c>
      <c r="AB13" s="43">
        <f t="shared" si="12"/>
        <v>0</v>
      </c>
      <c r="AC13" s="43">
        <f t="shared" si="13"/>
        <v>1</v>
      </c>
      <c r="AD13" s="43">
        <f t="shared" si="14"/>
        <v>0</v>
      </c>
      <c r="AE13" s="41" t="s">
        <v>83</v>
      </c>
      <c r="AF13" s="32">
        <f t="shared" si="15"/>
        <v>78.530455095502887</v>
      </c>
      <c r="AG13" s="26" t="s">
        <v>145</v>
      </c>
      <c r="AH13" s="28">
        <f t="shared" si="26"/>
        <v>-1</v>
      </c>
      <c r="AI13" s="41" t="s">
        <v>84</v>
      </c>
      <c r="AJ13" s="32">
        <f t="shared" si="16"/>
        <v>107.49244276773477</v>
      </c>
      <c r="AK13" s="26" t="s">
        <v>145</v>
      </c>
      <c r="AL13" s="43">
        <f t="shared" si="27"/>
        <v>-1</v>
      </c>
      <c r="AM13" s="29"/>
      <c r="AN13" s="32">
        <f t="shared" si="17"/>
        <v>109.46770065296708</v>
      </c>
      <c r="AO13" s="26" t="s">
        <v>145</v>
      </c>
      <c r="AP13" s="43">
        <f t="shared" si="28"/>
        <v>0</v>
      </c>
      <c r="AQ13" s="29"/>
      <c r="AR13" s="32">
        <f t="shared" si="18"/>
        <v>79.173000000000002</v>
      </c>
      <c r="AS13" s="26" t="s">
        <v>156</v>
      </c>
      <c r="AT13" s="43">
        <f t="shared" si="29"/>
        <v>0</v>
      </c>
      <c r="AU13" s="46">
        <f t="shared" si="19"/>
        <v>5</v>
      </c>
    </row>
    <row r="14" spans="1:47" ht="15.75" customHeight="1" x14ac:dyDescent="0.2">
      <c r="A14" s="25">
        <v>13</v>
      </c>
      <c r="B14" s="30">
        <v>43413.724961678236</v>
      </c>
      <c r="C14" s="26" t="s">
        <v>85</v>
      </c>
      <c r="D14" s="26" t="s">
        <v>86</v>
      </c>
      <c r="E14" s="27">
        <v>239515</v>
      </c>
      <c r="F14" s="25">
        <f t="shared" si="20"/>
        <v>2</v>
      </c>
      <c r="G14" s="25">
        <f t="shared" si="21"/>
        <v>3</v>
      </c>
      <c r="H14" s="25">
        <f t="shared" si="22"/>
        <v>9</v>
      </c>
      <c r="I14" s="25">
        <f t="shared" si="23"/>
        <v>5</v>
      </c>
      <c r="J14" s="25">
        <f t="shared" si="24"/>
        <v>1</v>
      </c>
      <c r="K14" s="25">
        <f t="shared" si="25"/>
        <v>5</v>
      </c>
      <c r="L14" s="43">
        <v>2</v>
      </c>
      <c r="M14" s="27" t="s">
        <v>14</v>
      </c>
      <c r="N14" s="43">
        <v>1</v>
      </c>
      <c r="O14" s="27" t="s">
        <v>15</v>
      </c>
      <c r="P14" s="43">
        <v>1</v>
      </c>
      <c r="Q14" s="26" t="s">
        <v>87</v>
      </c>
      <c r="R14" s="43">
        <f t="shared" si="3"/>
        <v>0</v>
      </c>
      <c r="S14" s="43">
        <f t="shared" si="4"/>
        <v>1</v>
      </c>
      <c r="T14" s="43">
        <f t="shared" si="5"/>
        <v>1</v>
      </c>
      <c r="U14" s="43">
        <f t="shared" si="6"/>
        <v>1</v>
      </c>
      <c r="V14" s="43">
        <f t="shared" si="7"/>
        <v>0</v>
      </c>
      <c r="W14" s="43">
        <f t="shared" si="8"/>
        <v>0</v>
      </c>
      <c r="X14" s="26" t="s">
        <v>88</v>
      </c>
      <c r="Y14" s="43">
        <f t="shared" si="9"/>
        <v>0</v>
      </c>
      <c r="Z14" s="43">
        <f t="shared" si="10"/>
        <v>1</v>
      </c>
      <c r="AA14" s="43">
        <f t="shared" si="11"/>
        <v>0</v>
      </c>
      <c r="AB14" s="43">
        <f t="shared" si="12"/>
        <v>0</v>
      </c>
      <c r="AC14" s="43">
        <f t="shared" si="13"/>
        <v>0</v>
      </c>
      <c r="AD14" s="43">
        <f t="shared" si="14"/>
        <v>-1</v>
      </c>
      <c r="AE14" s="41" t="s">
        <v>89</v>
      </c>
      <c r="AF14" s="32">
        <f t="shared" si="15"/>
        <v>80.239087409443187</v>
      </c>
      <c r="AG14" s="26" t="s">
        <v>145</v>
      </c>
      <c r="AH14" s="28">
        <f t="shared" si="26"/>
        <v>-1</v>
      </c>
      <c r="AI14" s="41" t="s">
        <v>90</v>
      </c>
      <c r="AJ14" s="32">
        <f t="shared" si="16"/>
        <v>108.3159556961061</v>
      </c>
      <c r="AK14" s="26" t="s">
        <v>145</v>
      </c>
      <c r="AL14" s="43">
        <v>0</v>
      </c>
      <c r="AM14" s="41" t="s">
        <v>91</v>
      </c>
      <c r="AN14" s="32">
        <f t="shared" si="17"/>
        <v>109.62513213066174</v>
      </c>
      <c r="AO14" s="26" t="s">
        <v>145</v>
      </c>
      <c r="AP14" s="43">
        <f t="shared" si="28"/>
        <v>-1</v>
      </c>
      <c r="AQ14" s="29"/>
      <c r="AR14" s="32">
        <f t="shared" si="18"/>
        <v>78.173000000000002</v>
      </c>
      <c r="AS14" s="26" t="s">
        <v>156</v>
      </c>
      <c r="AT14" s="43">
        <f t="shared" si="29"/>
        <v>0</v>
      </c>
      <c r="AU14" s="46">
        <f t="shared" si="19"/>
        <v>5</v>
      </c>
    </row>
    <row r="15" spans="1:47" ht="15.75" customHeight="1" x14ac:dyDescent="0.2">
      <c r="A15" s="25">
        <v>14</v>
      </c>
      <c r="B15" s="30">
        <v>43413.725159490743</v>
      </c>
      <c r="C15" s="26" t="s">
        <v>92</v>
      </c>
      <c r="D15" s="26" t="s">
        <v>93</v>
      </c>
      <c r="E15" s="27">
        <v>289638</v>
      </c>
      <c r="F15" s="25">
        <f t="shared" si="20"/>
        <v>2</v>
      </c>
      <c r="G15" s="25">
        <f t="shared" si="21"/>
        <v>8</v>
      </c>
      <c r="H15" s="25">
        <f t="shared" si="22"/>
        <v>9</v>
      </c>
      <c r="I15" s="25">
        <f t="shared" si="23"/>
        <v>6</v>
      </c>
      <c r="J15" s="25">
        <f t="shared" si="24"/>
        <v>3</v>
      </c>
      <c r="K15" s="25">
        <f t="shared" si="25"/>
        <v>8</v>
      </c>
      <c r="L15" s="43">
        <v>2</v>
      </c>
      <c r="M15" s="27" t="s">
        <v>14</v>
      </c>
      <c r="N15" s="43">
        <v>1</v>
      </c>
      <c r="O15" s="27" t="s">
        <v>15</v>
      </c>
      <c r="P15" s="43">
        <v>1</v>
      </c>
      <c r="Q15" s="26" t="s">
        <v>94</v>
      </c>
      <c r="R15" s="43">
        <f t="shared" si="3"/>
        <v>0</v>
      </c>
      <c r="S15" s="43">
        <f t="shared" si="4"/>
        <v>0</v>
      </c>
      <c r="T15" s="43">
        <f t="shared" si="5"/>
        <v>0</v>
      </c>
      <c r="U15" s="43">
        <f t="shared" si="6"/>
        <v>1</v>
      </c>
      <c r="V15" s="43">
        <f t="shared" si="7"/>
        <v>0</v>
      </c>
      <c r="W15" s="43">
        <f t="shared" si="8"/>
        <v>-1</v>
      </c>
      <c r="X15" s="26" t="s">
        <v>24</v>
      </c>
      <c r="Y15" s="43">
        <f t="shared" si="9"/>
        <v>-1</v>
      </c>
      <c r="Z15" s="43">
        <f t="shared" si="10"/>
        <v>1</v>
      </c>
      <c r="AA15" s="43">
        <f t="shared" si="11"/>
        <v>0</v>
      </c>
      <c r="AB15" s="43">
        <f t="shared" si="12"/>
        <v>0</v>
      </c>
      <c r="AC15" s="43">
        <f t="shared" si="13"/>
        <v>1</v>
      </c>
      <c r="AD15" s="43">
        <f t="shared" si="14"/>
        <v>0</v>
      </c>
      <c r="AE15" s="26" t="s">
        <v>95</v>
      </c>
      <c r="AF15" s="32">
        <f t="shared" si="15"/>
        <v>80.470325397914564</v>
      </c>
      <c r="AG15" s="26" t="s">
        <v>145</v>
      </c>
      <c r="AH15" s="28">
        <f t="shared" si="26"/>
        <v>-1</v>
      </c>
      <c r="AI15" s="26" t="s">
        <v>96</v>
      </c>
      <c r="AJ15" s="32">
        <f t="shared" si="16"/>
        <v>108.71268274374562</v>
      </c>
      <c r="AK15" s="26" t="s">
        <v>145</v>
      </c>
      <c r="AL15" s="43">
        <f t="shared" si="27"/>
        <v>-1</v>
      </c>
      <c r="AM15" s="26" t="s">
        <v>97</v>
      </c>
      <c r="AN15" s="32">
        <f t="shared" si="17"/>
        <v>109.60467163047927</v>
      </c>
      <c r="AO15" s="26" t="s">
        <v>145</v>
      </c>
      <c r="AP15" s="43">
        <f t="shared" si="28"/>
        <v>-1</v>
      </c>
      <c r="AQ15" s="26" t="s">
        <v>98</v>
      </c>
      <c r="AR15" s="32">
        <f t="shared" si="18"/>
        <v>80.173000000000002</v>
      </c>
      <c r="AS15" s="26" t="s">
        <v>156</v>
      </c>
      <c r="AT15" s="43">
        <f t="shared" si="29"/>
        <v>1</v>
      </c>
      <c r="AU15" s="46">
        <f t="shared" si="19"/>
        <v>3</v>
      </c>
    </row>
    <row r="16" spans="1:47" ht="15.75" customHeight="1" x14ac:dyDescent="0.2">
      <c r="A16" s="25">
        <v>15</v>
      </c>
      <c r="B16" s="30">
        <v>43413.725211921294</v>
      </c>
      <c r="C16" s="26" t="s">
        <v>99</v>
      </c>
      <c r="D16" s="26" t="s">
        <v>100</v>
      </c>
      <c r="E16" s="27">
        <v>293075</v>
      </c>
      <c r="F16" s="25">
        <f t="shared" si="20"/>
        <v>2</v>
      </c>
      <c r="G16" s="25">
        <f t="shared" si="21"/>
        <v>9</v>
      </c>
      <c r="H16" s="25">
        <f t="shared" si="22"/>
        <v>3</v>
      </c>
      <c r="I16" s="25">
        <f t="shared" si="23"/>
        <v>0</v>
      </c>
      <c r="J16" s="25">
        <f t="shared" si="24"/>
        <v>7</v>
      </c>
      <c r="K16" s="25">
        <f t="shared" si="25"/>
        <v>5</v>
      </c>
      <c r="L16" s="43">
        <v>2</v>
      </c>
      <c r="M16" s="27" t="s">
        <v>14</v>
      </c>
      <c r="N16" s="43">
        <v>1</v>
      </c>
      <c r="O16" s="27" t="s">
        <v>15</v>
      </c>
      <c r="P16" s="43">
        <v>1</v>
      </c>
      <c r="Q16" s="26" t="s">
        <v>101</v>
      </c>
      <c r="R16" s="43">
        <f t="shared" si="3"/>
        <v>0</v>
      </c>
      <c r="S16" s="43">
        <f t="shared" si="4"/>
        <v>1</v>
      </c>
      <c r="T16" s="43">
        <f t="shared" si="5"/>
        <v>0</v>
      </c>
      <c r="U16" s="43">
        <f t="shared" si="6"/>
        <v>0</v>
      </c>
      <c r="V16" s="43">
        <f t="shared" si="7"/>
        <v>0</v>
      </c>
      <c r="W16" s="43">
        <f t="shared" si="8"/>
        <v>0</v>
      </c>
      <c r="X16" s="26" t="s">
        <v>102</v>
      </c>
      <c r="Y16" s="43">
        <f t="shared" si="9"/>
        <v>-1</v>
      </c>
      <c r="Z16" s="43">
        <f t="shared" si="10"/>
        <v>0</v>
      </c>
      <c r="AA16" s="43">
        <f t="shared" si="11"/>
        <v>0</v>
      </c>
      <c r="AB16" s="43">
        <f t="shared" si="12"/>
        <v>0</v>
      </c>
      <c r="AC16" s="43">
        <f t="shared" si="13"/>
        <v>1</v>
      </c>
      <c r="AD16" s="43">
        <f t="shared" si="14"/>
        <v>0</v>
      </c>
      <c r="AE16" s="26" t="s">
        <v>103</v>
      </c>
      <c r="AF16" s="32">
        <f t="shared" si="15"/>
        <v>83.760912590556813</v>
      </c>
      <c r="AG16" s="26" t="s">
        <v>145</v>
      </c>
      <c r="AH16" s="28">
        <f t="shared" si="26"/>
        <v>-1</v>
      </c>
      <c r="AI16" s="29"/>
      <c r="AJ16" s="32">
        <f t="shared" si="16"/>
        <v>105.5764085153955</v>
      </c>
      <c r="AK16" s="26" t="s">
        <v>145</v>
      </c>
      <c r="AL16" s="43">
        <f t="shared" si="27"/>
        <v>0</v>
      </c>
      <c r="AM16" s="29"/>
      <c r="AN16" s="32">
        <f t="shared" si="17"/>
        <v>107.78037975772887</v>
      </c>
      <c r="AO16" s="26" t="s">
        <v>145</v>
      </c>
      <c r="AP16" s="43">
        <f t="shared" si="28"/>
        <v>0</v>
      </c>
      <c r="AQ16" s="29"/>
      <c r="AR16" s="32">
        <f t="shared" si="18"/>
        <v>84.173000000000002</v>
      </c>
      <c r="AS16" s="26" t="s">
        <v>156</v>
      </c>
      <c r="AT16" s="43">
        <f t="shared" si="29"/>
        <v>0</v>
      </c>
      <c r="AU16" s="46">
        <f t="shared" si="19"/>
        <v>4</v>
      </c>
    </row>
    <row r="17" spans="1:47" ht="15.75" customHeight="1" x14ac:dyDescent="0.2">
      <c r="A17" s="25">
        <v>16</v>
      </c>
      <c r="B17" s="30">
        <v>43413.725381805554</v>
      </c>
      <c r="C17" s="26" t="s">
        <v>104</v>
      </c>
      <c r="D17" s="26" t="s">
        <v>105</v>
      </c>
      <c r="E17" s="27">
        <v>298849</v>
      </c>
      <c r="F17" s="25">
        <f t="shared" si="20"/>
        <v>2</v>
      </c>
      <c r="G17" s="25">
        <f t="shared" si="21"/>
        <v>9</v>
      </c>
      <c r="H17" s="25">
        <f t="shared" si="22"/>
        <v>8</v>
      </c>
      <c r="I17" s="25">
        <f t="shared" si="23"/>
        <v>8</v>
      </c>
      <c r="J17" s="25">
        <f t="shared" si="24"/>
        <v>4</v>
      </c>
      <c r="K17" s="25">
        <f t="shared" si="25"/>
        <v>9</v>
      </c>
      <c r="L17" s="43">
        <v>2</v>
      </c>
      <c r="M17" s="27" t="s">
        <v>14</v>
      </c>
      <c r="N17" s="43">
        <v>1</v>
      </c>
      <c r="O17" s="27" t="s">
        <v>15</v>
      </c>
      <c r="P17" s="43">
        <v>1</v>
      </c>
      <c r="Q17" s="26" t="s">
        <v>72</v>
      </c>
      <c r="R17" s="43">
        <f t="shared" si="3"/>
        <v>0</v>
      </c>
      <c r="S17" s="43">
        <f t="shared" si="4"/>
        <v>0</v>
      </c>
      <c r="T17" s="43">
        <f t="shared" si="5"/>
        <v>1</v>
      </c>
      <c r="U17" s="43">
        <f t="shared" si="6"/>
        <v>1</v>
      </c>
      <c r="V17" s="43">
        <f t="shared" si="7"/>
        <v>0</v>
      </c>
      <c r="W17" s="43">
        <f t="shared" si="8"/>
        <v>0</v>
      </c>
      <c r="X17" s="26" t="s">
        <v>106</v>
      </c>
      <c r="Y17" s="43">
        <f t="shared" si="9"/>
        <v>-1</v>
      </c>
      <c r="Z17" s="43">
        <f t="shared" si="10"/>
        <v>1</v>
      </c>
      <c r="AA17" s="43">
        <f t="shared" si="11"/>
        <v>-1</v>
      </c>
      <c r="AB17" s="43">
        <f t="shared" si="12"/>
        <v>0</v>
      </c>
      <c r="AC17" s="43">
        <f t="shared" si="13"/>
        <v>0</v>
      </c>
      <c r="AD17" s="43">
        <f t="shared" si="14"/>
        <v>0</v>
      </c>
      <c r="AE17" s="26" t="s">
        <v>107</v>
      </c>
      <c r="AF17" s="32">
        <f t="shared" si="15"/>
        <v>79.682085907462152</v>
      </c>
      <c r="AG17" s="26" t="s">
        <v>145</v>
      </c>
      <c r="AH17" s="28">
        <f t="shared" si="26"/>
        <v>-1</v>
      </c>
      <c r="AI17" s="26" t="s">
        <v>108</v>
      </c>
      <c r="AJ17" s="32">
        <f t="shared" si="16"/>
        <v>108.52784868680547</v>
      </c>
      <c r="AK17" s="26" t="s">
        <v>145</v>
      </c>
      <c r="AL17" s="43">
        <f t="shared" si="27"/>
        <v>1</v>
      </c>
      <c r="AM17" s="26" t="s">
        <v>109</v>
      </c>
      <c r="AN17" s="32">
        <f t="shared" si="17"/>
        <v>109.37910311366821</v>
      </c>
      <c r="AO17" s="26" t="s">
        <v>145</v>
      </c>
      <c r="AP17" s="43">
        <f t="shared" si="28"/>
        <v>-1</v>
      </c>
      <c r="AQ17" s="26" t="s">
        <v>110</v>
      </c>
      <c r="AR17" s="32">
        <f t="shared" si="18"/>
        <v>81.173000000000002</v>
      </c>
      <c r="AS17" s="26" t="s">
        <v>156</v>
      </c>
      <c r="AT17" s="43">
        <f t="shared" si="29"/>
        <v>1</v>
      </c>
      <c r="AU17" s="46">
        <f t="shared" si="19"/>
        <v>5</v>
      </c>
    </row>
    <row r="18" spans="1:47" ht="15.75" customHeight="1" x14ac:dyDescent="0.2">
      <c r="A18" s="25">
        <v>17</v>
      </c>
      <c r="B18" s="30">
        <v>43413.725600358797</v>
      </c>
      <c r="C18" s="26" t="s">
        <v>111</v>
      </c>
      <c r="D18" s="26" t="s">
        <v>112</v>
      </c>
      <c r="E18" s="27">
        <v>288767</v>
      </c>
      <c r="F18" s="25">
        <f t="shared" si="20"/>
        <v>2</v>
      </c>
      <c r="G18" s="25">
        <f t="shared" si="21"/>
        <v>8</v>
      </c>
      <c r="H18" s="25">
        <f t="shared" si="22"/>
        <v>8</v>
      </c>
      <c r="I18" s="25">
        <f t="shared" si="23"/>
        <v>7</v>
      </c>
      <c r="J18" s="25">
        <f t="shared" si="24"/>
        <v>6</v>
      </c>
      <c r="K18" s="25">
        <f t="shared" si="25"/>
        <v>7</v>
      </c>
      <c r="L18" s="43">
        <v>2</v>
      </c>
      <c r="M18" s="27" t="s">
        <v>14</v>
      </c>
      <c r="N18" s="43">
        <v>1</v>
      </c>
      <c r="O18" s="27" t="s">
        <v>15</v>
      </c>
      <c r="P18" s="43">
        <v>1</v>
      </c>
      <c r="Q18" s="26" t="s">
        <v>113</v>
      </c>
      <c r="R18" s="43">
        <f t="shared" si="3"/>
        <v>0</v>
      </c>
      <c r="S18" s="43">
        <f t="shared" si="4"/>
        <v>0</v>
      </c>
      <c r="T18" s="43">
        <f t="shared" si="5"/>
        <v>0</v>
      </c>
      <c r="U18" s="43">
        <f t="shared" si="6"/>
        <v>1</v>
      </c>
      <c r="V18" s="43">
        <f t="shared" si="7"/>
        <v>0</v>
      </c>
      <c r="W18" s="43">
        <f t="shared" si="8"/>
        <v>0</v>
      </c>
      <c r="X18" s="26" t="s">
        <v>73</v>
      </c>
      <c r="Y18" s="43">
        <f t="shared" si="9"/>
        <v>0</v>
      </c>
      <c r="Z18" s="43">
        <f t="shared" si="10"/>
        <v>1</v>
      </c>
      <c r="AA18" s="43">
        <f t="shared" si="11"/>
        <v>-1</v>
      </c>
      <c r="AB18" s="43">
        <f t="shared" si="12"/>
        <v>0</v>
      </c>
      <c r="AC18" s="43">
        <f t="shared" si="13"/>
        <v>1</v>
      </c>
      <c r="AD18" s="43">
        <f t="shared" si="14"/>
        <v>0</v>
      </c>
      <c r="AE18" s="26" t="s">
        <v>114</v>
      </c>
      <c r="AF18" s="32">
        <f t="shared" si="15"/>
        <v>79.69551078621727</v>
      </c>
      <c r="AG18" s="26" t="s">
        <v>145</v>
      </c>
      <c r="AH18" s="28">
        <f t="shared" si="26"/>
        <v>1</v>
      </c>
      <c r="AI18" s="26" t="s">
        <v>115</v>
      </c>
      <c r="AJ18" s="32">
        <f t="shared" si="16"/>
        <v>107.69718082846781</v>
      </c>
      <c r="AK18" s="26" t="s">
        <v>145</v>
      </c>
      <c r="AL18" s="43">
        <f t="shared" si="27"/>
        <v>1</v>
      </c>
      <c r="AM18" s="26" t="s">
        <v>116</v>
      </c>
      <c r="AN18" s="32">
        <f t="shared" si="17"/>
        <v>108.90059118483528</v>
      </c>
      <c r="AO18" s="26" t="s">
        <v>145</v>
      </c>
      <c r="AP18" s="43">
        <f t="shared" si="28"/>
        <v>1</v>
      </c>
      <c r="AQ18" s="26" t="s">
        <v>117</v>
      </c>
      <c r="AR18" s="32">
        <f t="shared" si="18"/>
        <v>83.173000000000002</v>
      </c>
      <c r="AS18" s="26" t="s">
        <v>156</v>
      </c>
      <c r="AT18" s="43">
        <f t="shared" si="29"/>
        <v>-1</v>
      </c>
      <c r="AU18" s="46">
        <f t="shared" si="19"/>
        <v>8</v>
      </c>
    </row>
    <row r="19" spans="1:47" ht="15.75" customHeight="1" x14ac:dyDescent="0.2">
      <c r="A19" s="25">
        <v>18</v>
      </c>
      <c r="B19" s="31" t="s">
        <v>119</v>
      </c>
      <c r="C19" s="29"/>
      <c r="D19" s="26" t="s">
        <v>120</v>
      </c>
      <c r="E19" s="27">
        <v>288985</v>
      </c>
      <c r="F19" s="25">
        <f t="shared" si="20"/>
        <v>2</v>
      </c>
      <c r="G19" s="25">
        <f t="shared" si="21"/>
        <v>8</v>
      </c>
      <c r="H19" s="25">
        <f t="shared" si="22"/>
        <v>8</v>
      </c>
      <c r="I19" s="25">
        <f t="shared" si="23"/>
        <v>9</v>
      </c>
      <c r="J19" s="25">
        <f t="shared" si="24"/>
        <v>8</v>
      </c>
      <c r="K19" s="25">
        <f t="shared" si="25"/>
        <v>5</v>
      </c>
      <c r="L19" s="43">
        <v>0</v>
      </c>
      <c r="M19" s="27" t="s">
        <v>14</v>
      </c>
      <c r="N19" s="43">
        <v>1</v>
      </c>
      <c r="O19" s="27" t="s">
        <v>15</v>
      </c>
      <c r="P19" s="43">
        <v>1</v>
      </c>
      <c r="Q19" s="26" t="s">
        <v>72</v>
      </c>
      <c r="R19" s="43">
        <f t="shared" si="3"/>
        <v>0</v>
      </c>
      <c r="S19" s="43">
        <f t="shared" si="4"/>
        <v>0</v>
      </c>
      <c r="T19" s="43">
        <f t="shared" si="5"/>
        <v>1</v>
      </c>
      <c r="U19" s="43">
        <f t="shared" si="6"/>
        <v>1</v>
      </c>
      <c r="V19" s="43">
        <f t="shared" si="7"/>
        <v>0</v>
      </c>
      <c r="W19" s="43">
        <f t="shared" si="8"/>
        <v>0</v>
      </c>
      <c r="X19" s="26" t="s">
        <v>73</v>
      </c>
      <c r="Y19" s="43">
        <f t="shared" si="9"/>
        <v>0</v>
      </c>
      <c r="Z19" s="43">
        <f t="shared" si="10"/>
        <v>1</v>
      </c>
      <c r="AA19" s="43">
        <f t="shared" si="11"/>
        <v>-1</v>
      </c>
      <c r="AB19" s="43">
        <f t="shared" si="12"/>
        <v>0</v>
      </c>
      <c r="AC19" s="43">
        <f t="shared" si="13"/>
        <v>1</v>
      </c>
      <c r="AD19" s="43">
        <f t="shared" si="14"/>
        <v>0</v>
      </c>
      <c r="AE19" s="26" t="s">
        <v>121</v>
      </c>
      <c r="AF19" s="32">
        <f t="shared" si="15"/>
        <v>78.185840571500236</v>
      </c>
      <c r="AG19" s="26" t="s">
        <v>145</v>
      </c>
      <c r="AH19" s="28">
        <f t="shared" si="26"/>
        <v>1</v>
      </c>
      <c r="AI19" s="26" t="s">
        <v>122</v>
      </c>
      <c r="AJ19" s="32">
        <f t="shared" si="16"/>
        <v>106.83175737152787</v>
      </c>
      <c r="AK19" s="26" t="s">
        <v>145</v>
      </c>
      <c r="AL19" s="43">
        <f t="shared" si="27"/>
        <v>-1</v>
      </c>
      <c r="AM19" s="26" t="s">
        <v>123</v>
      </c>
      <c r="AN19" s="32">
        <f t="shared" si="17"/>
        <v>108.57860128154465</v>
      </c>
      <c r="AO19" s="26" t="s">
        <v>145</v>
      </c>
      <c r="AP19" s="43">
        <f t="shared" si="28"/>
        <v>-1</v>
      </c>
      <c r="AQ19" s="29"/>
      <c r="AR19" s="32">
        <f t="shared" si="18"/>
        <v>85.173000000000002</v>
      </c>
      <c r="AS19" s="26" t="s">
        <v>156</v>
      </c>
      <c r="AT19" s="43">
        <f t="shared" si="29"/>
        <v>0</v>
      </c>
      <c r="AU19" s="46">
        <f t="shared" si="19"/>
        <v>4</v>
      </c>
    </row>
    <row r="21" spans="1:47" ht="15.75" customHeight="1" x14ac:dyDescent="0.2">
      <c r="A21" s="45" t="s">
        <v>177</v>
      </c>
    </row>
    <row r="22" spans="1:47" ht="15.75" customHeight="1" x14ac:dyDescent="0.2">
      <c r="A22" s="35" t="s">
        <v>182</v>
      </c>
      <c r="B22" s="36"/>
      <c r="C22" s="36"/>
      <c r="D22" s="47" t="s">
        <v>183</v>
      </c>
    </row>
    <row r="23" spans="1:47" ht="15.75" customHeight="1" x14ac:dyDescent="0.2">
      <c r="A23" s="37" t="s">
        <v>178</v>
      </c>
      <c r="B23" s="38"/>
      <c r="C23" s="38"/>
    </row>
    <row r="24" spans="1:47" ht="15.75" customHeight="1" x14ac:dyDescent="0.2">
      <c r="A24" s="39" t="s">
        <v>179</v>
      </c>
      <c r="B24" s="40"/>
      <c r="C24" s="40"/>
      <c r="O24" s="34"/>
      <c r="P24" s="34"/>
    </row>
    <row r="25" spans="1:47" ht="15.75" customHeight="1" x14ac:dyDescent="0.2">
      <c r="N25" s="34"/>
      <c r="O25" s="34"/>
      <c r="P25" s="34"/>
    </row>
    <row r="26" spans="1:47" ht="15.75" customHeight="1" x14ac:dyDescent="0.2">
      <c r="N26" s="34"/>
      <c r="O26" s="34"/>
      <c r="P26" s="34"/>
    </row>
    <row r="27" spans="1:47" ht="15.75" customHeight="1" x14ac:dyDescent="0.2">
      <c r="N27" s="34"/>
      <c r="O27" s="34"/>
      <c r="P27" s="34"/>
    </row>
    <row r="28" spans="1:47" ht="15.75" customHeight="1" x14ac:dyDescent="0.2">
      <c r="N28" s="34"/>
      <c r="O28" s="34"/>
      <c r="P28" s="34"/>
    </row>
    <row r="29" spans="1:47" ht="15.75" customHeight="1" x14ac:dyDescent="0.2">
      <c r="N29" s="34"/>
      <c r="O29" s="34"/>
      <c r="P29" s="34"/>
    </row>
    <row r="30" spans="1:47" ht="15.75" customHeight="1" x14ac:dyDescent="0.2">
      <c r="N30" s="34"/>
      <c r="O30" s="34"/>
      <c r="P30" s="34"/>
    </row>
    <row r="31" spans="1:47" ht="15.75" customHeight="1" x14ac:dyDescent="0.2">
      <c r="N31" s="34"/>
      <c r="O31" s="34"/>
      <c r="P31" s="34"/>
    </row>
  </sheetData>
  <conditionalFormatting sqref="AH2:AH19">
    <cfRule type="cellIs" dxfId="30" priority="31" operator="lessThan">
      <formula>0</formula>
    </cfRule>
  </conditionalFormatting>
  <conditionalFormatting sqref="Y2:AD19">
    <cfRule type="cellIs" dxfId="29" priority="29" operator="lessThan">
      <formula>0</formula>
    </cfRule>
  </conditionalFormatting>
  <conditionalFormatting sqref="Y2:AD19">
    <cfRule type="containsText" dxfId="28" priority="30" operator="containsText" text=",">
      <formula>NOT(ISERROR(SEARCH(",",Y2)))</formula>
    </cfRule>
  </conditionalFormatting>
  <conditionalFormatting sqref="Y2:AD19">
    <cfRule type="cellIs" dxfId="27" priority="28" operator="equal">
      <formula>0</formula>
    </cfRule>
  </conditionalFormatting>
  <conditionalFormatting sqref="R2:W19">
    <cfRule type="cellIs" dxfId="26" priority="26" operator="lessThan">
      <formula>0</formula>
    </cfRule>
  </conditionalFormatting>
  <conditionalFormatting sqref="R2:W19">
    <cfRule type="containsText" dxfId="25" priority="27" operator="containsText" text=",">
      <formula>NOT(ISERROR(SEARCH(",",R2)))</formula>
    </cfRule>
  </conditionalFormatting>
  <conditionalFormatting sqref="R2:W19">
    <cfRule type="cellIs" dxfId="24" priority="25" operator="equal">
      <formula>0</formula>
    </cfRule>
  </conditionalFormatting>
  <conditionalFormatting sqref="P2:P19">
    <cfRule type="cellIs" dxfId="23" priority="23" operator="lessThan">
      <formula>0</formula>
    </cfRule>
  </conditionalFormatting>
  <conditionalFormatting sqref="P2:P19">
    <cfRule type="containsText" dxfId="22" priority="24" operator="containsText" text=",">
      <formula>NOT(ISERROR(SEARCH(",",P2)))</formula>
    </cfRule>
  </conditionalFormatting>
  <conditionalFormatting sqref="P2:P19">
    <cfRule type="cellIs" dxfId="21" priority="22" operator="equal">
      <formula>0</formula>
    </cfRule>
  </conditionalFormatting>
  <conditionalFormatting sqref="N2:N19">
    <cfRule type="cellIs" dxfId="20" priority="20" operator="lessThan">
      <formula>0</formula>
    </cfRule>
  </conditionalFormatting>
  <conditionalFormatting sqref="N2:N19">
    <cfRule type="containsText" dxfId="19" priority="21" operator="containsText" text=",">
      <formula>NOT(ISERROR(SEARCH(",",N2)))</formula>
    </cfRule>
  </conditionalFormatting>
  <conditionalFormatting sqref="N2:N19">
    <cfRule type="cellIs" dxfId="18" priority="19" operator="equal">
      <formula>0</formula>
    </cfRule>
  </conditionalFormatting>
  <conditionalFormatting sqref="L2:L19">
    <cfRule type="cellIs" dxfId="17" priority="17" operator="lessThan">
      <formula>0</formula>
    </cfRule>
  </conditionalFormatting>
  <conditionalFormatting sqref="L2:L19">
    <cfRule type="containsText" dxfId="16" priority="18" operator="containsText" text=",">
      <formula>NOT(ISERROR(SEARCH(",",L2)))</formula>
    </cfRule>
  </conditionalFormatting>
  <conditionalFormatting sqref="L2:L19">
    <cfRule type="cellIs" dxfId="15" priority="16" operator="equal">
      <formula>0</formula>
    </cfRule>
  </conditionalFormatting>
  <conditionalFormatting sqref="AL2:AL19">
    <cfRule type="cellIs" dxfId="14" priority="14" operator="lessThan">
      <formula>0</formula>
    </cfRule>
  </conditionalFormatting>
  <conditionalFormatting sqref="AL2:AL19">
    <cfRule type="containsText" dxfId="13" priority="15" operator="containsText" text=",">
      <formula>NOT(ISERROR(SEARCH(",",AL2)))</formula>
    </cfRule>
  </conditionalFormatting>
  <conditionalFormatting sqref="AL2:AL19">
    <cfRule type="cellIs" dxfId="12" priority="13" operator="equal">
      <formula>0</formula>
    </cfRule>
  </conditionalFormatting>
  <conditionalFormatting sqref="AP2">
    <cfRule type="cellIs" dxfId="11" priority="11" operator="lessThan">
      <formula>0</formula>
    </cfRule>
  </conditionalFormatting>
  <conditionalFormatting sqref="AP2">
    <cfRule type="containsText" dxfId="10" priority="12" operator="containsText" text=",">
      <formula>NOT(ISERROR(SEARCH(",",AP2)))</formula>
    </cfRule>
  </conditionalFormatting>
  <conditionalFormatting sqref="AP2">
    <cfRule type="cellIs" dxfId="9" priority="10" operator="equal">
      <formula>0</formula>
    </cfRule>
  </conditionalFormatting>
  <conditionalFormatting sqref="AP4:AP19">
    <cfRule type="cellIs" dxfId="8" priority="8" operator="lessThan">
      <formula>0</formula>
    </cfRule>
  </conditionalFormatting>
  <conditionalFormatting sqref="AP4:AP19">
    <cfRule type="containsText" dxfId="7" priority="9" operator="containsText" text=",">
      <formula>NOT(ISERROR(SEARCH(",",AP4)))</formula>
    </cfRule>
  </conditionalFormatting>
  <conditionalFormatting sqref="AP4:AP19">
    <cfRule type="cellIs" dxfId="6" priority="7" operator="equal">
      <formula>0</formula>
    </cfRule>
  </conditionalFormatting>
  <conditionalFormatting sqref="AT2:AT19">
    <cfRule type="cellIs" dxfId="5" priority="5" operator="lessThan">
      <formula>0</formula>
    </cfRule>
  </conditionalFormatting>
  <conditionalFormatting sqref="AT2:AT19">
    <cfRule type="containsText" dxfId="4" priority="6" operator="containsText" text=",">
      <formula>NOT(ISERROR(SEARCH(",",AT2)))</formula>
    </cfRule>
  </conditionalFormatting>
  <conditionalFormatting sqref="AT2:AT19">
    <cfRule type="cellIs" dxfId="3" priority="4" operator="equal">
      <formula>0</formula>
    </cfRule>
  </conditionalFormatting>
  <conditionalFormatting sqref="AP3">
    <cfRule type="cellIs" dxfId="2" priority="2" operator="lessThan">
      <formula>0</formula>
    </cfRule>
  </conditionalFormatting>
  <conditionalFormatting sqref="AP3">
    <cfRule type="containsText" dxfId="1" priority="3" operator="containsText" text=",">
      <formula>NOT(ISERROR(SEARCH(",",AP3)))</formula>
    </cfRule>
  </conditionalFormatting>
  <conditionalFormatting sqref="AP3">
    <cfRule type="cellIs" dxfId="0"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98" zoomScaleNormal="98" workbookViewId="0">
      <selection activeCell="B4" sqref="B4"/>
    </sheetView>
  </sheetViews>
  <sheetFormatPr defaultRowHeight="12.75" x14ac:dyDescent="0.2"/>
  <cols>
    <col min="1" max="1" width="11.28515625" customWidth="1"/>
    <col min="7" max="7" width="12.140625" bestFit="1" customWidth="1"/>
  </cols>
  <sheetData>
    <row r="1" spans="1:15" ht="15.75" x14ac:dyDescent="0.25">
      <c r="A1" s="20" t="s">
        <v>168</v>
      </c>
      <c r="C1" s="7"/>
      <c r="D1" s="7"/>
      <c r="E1" s="7"/>
    </row>
    <row r="2" spans="1:15" x14ac:dyDescent="0.2">
      <c r="A2" s="7"/>
      <c r="C2" s="7"/>
      <c r="D2" s="7"/>
      <c r="E2" s="7"/>
    </row>
    <row r="3" spans="1:15" x14ac:dyDescent="0.2">
      <c r="A3" s="16" t="s">
        <v>161</v>
      </c>
      <c r="B3" s="33">
        <v>123456</v>
      </c>
      <c r="C3" s="17"/>
      <c r="D3" s="18" t="s">
        <v>162</v>
      </c>
      <c r="E3" s="19">
        <f>INT(B3/100000)</f>
        <v>1</v>
      </c>
      <c r="F3" s="18" t="s">
        <v>163</v>
      </c>
      <c r="G3" s="19">
        <f>INT((B3-E3*100000)/10000)</f>
        <v>2</v>
      </c>
      <c r="H3" s="18" t="s">
        <v>164</v>
      </c>
      <c r="I3" s="19">
        <f>INT((B3-E3*100000-G3*10000)/1000)</f>
        <v>3</v>
      </c>
      <c r="J3" s="18" t="s">
        <v>165</v>
      </c>
      <c r="K3" s="19">
        <f>INT((B3-E3*100000-G3*10000-I3*1000)/100)</f>
        <v>4</v>
      </c>
      <c r="L3" s="18" t="s">
        <v>166</v>
      </c>
      <c r="M3" s="19">
        <f>INT((B3-E3*100000-G3*10000-I3*1000-K3*100)/10)</f>
        <v>5</v>
      </c>
      <c r="N3" s="18" t="s">
        <v>167</v>
      </c>
      <c r="O3" s="19">
        <f>INT((B3-E3*100000-G3*10000-I3*1000-K3*100-M3*10))</f>
        <v>6</v>
      </c>
    </row>
    <row r="4" spans="1:15" x14ac:dyDescent="0.2">
      <c r="A4" s="16"/>
      <c r="B4" s="16"/>
      <c r="C4" s="17"/>
      <c r="D4" s="18"/>
      <c r="E4" s="19"/>
      <c r="F4" s="18"/>
      <c r="G4" s="19"/>
      <c r="H4" s="18"/>
      <c r="I4" s="19"/>
      <c r="J4" s="18"/>
      <c r="K4" s="19"/>
      <c r="L4" s="18"/>
      <c r="M4" s="19"/>
      <c r="N4" s="18"/>
      <c r="O4" s="19"/>
    </row>
    <row r="5" spans="1:15" ht="15" x14ac:dyDescent="0.2">
      <c r="A5" s="3" t="s">
        <v>4</v>
      </c>
      <c r="M5" s="4" t="s">
        <v>124</v>
      </c>
    </row>
    <row r="6" spans="1:15" ht="15" x14ac:dyDescent="0.2">
      <c r="A6" s="5" t="s">
        <v>125</v>
      </c>
    </row>
    <row r="7" spans="1:15" ht="15" x14ac:dyDescent="0.2">
      <c r="A7" s="8" t="s">
        <v>126</v>
      </c>
      <c r="B7" s="9"/>
    </row>
    <row r="8" spans="1:15" ht="15" x14ac:dyDescent="0.2">
      <c r="A8" s="5" t="s">
        <v>127</v>
      </c>
    </row>
    <row r="9" spans="1:15" ht="15" x14ac:dyDescent="0.2">
      <c r="A9" s="5" t="s">
        <v>128</v>
      </c>
    </row>
    <row r="10" spans="1:15" ht="15" x14ac:dyDescent="0.2">
      <c r="A10" s="5" t="s">
        <v>129</v>
      </c>
    </row>
    <row r="11" spans="1:15" ht="14.25" x14ac:dyDescent="0.2">
      <c r="A11" s="5"/>
    </row>
    <row r="12" spans="1:15" ht="15" x14ac:dyDescent="0.2">
      <c r="A12" s="3" t="s">
        <v>5</v>
      </c>
      <c r="M12" s="4" t="s">
        <v>124</v>
      </c>
    </row>
    <row r="13" spans="1:15" ht="15" x14ac:dyDescent="0.2">
      <c r="A13" s="5" t="s">
        <v>125</v>
      </c>
    </row>
    <row r="14" spans="1:15" ht="15" x14ac:dyDescent="0.2">
      <c r="A14" s="5" t="s">
        <v>126</v>
      </c>
    </row>
    <row r="15" spans="1:15" ht="15" x14ac:dyDescent="0.2">
      <c r="A15" s="5" t="s">
        <v>127</v>
      </c>
    </row>
    <row r="16" spans="1:15" ht="15" x14ac:dyDescent="0.2">
      <c r="A16" s="5" t="s">
        <v>128</v>
      </c>
    </row>
    <row r="17" spans="1:13" ht="15" x14ac:dyDescent="0.2">
      <c r="A17" s="8" t="s">
        <v>129</v>
      </c>
      <c r="B17" s="9"/>
    </row>
    <row r="18" spans="1:13" ht="14.25" x14ac:dyDescent="0.2">
      <c r="A18" s="5"/>
    </row>
    <row r="19" spans="1:13" ht="15" x14ac:dyDescent="0.2">
      <c r="A19" s="3" t="s">
        <v>6</v>
      </c>
      <c r="M19" s="4" t="s">
        <v>130</v>
      </c>
    </row>
    <row r="20" spans="1:13" ht="15" x14ac:dyDescent="0.2">
      <c r="A20" s="5" t="s">
        <v>131</v>
      </c>
    </row>
    <row r="21" spans="1:13" ht="15" x14ac:dyDescent="0.2">
      <c r="A21" s="8" t="s">
        <v>132</v>
      </c>
      <c r="B21" s="9"/>
      <c r="C21" s="9"/>
      <c r="D21" s="9"/>
      <c r="E21" s="9"/>
      <c r="F21" s="9"/>
      <c r="G21" s="9"/>
      <c r="H21" s="9"/>
      <c r="I21" s="9"/>
    </row>
    <row r="22" spans="1:13" ht="15" x14ac:dyDescent="0.2">
      <c r="A22" s="8" t="s">
        <v>133</v>
      </c>
      <c r="B22" s="9"/>
      <c r="C22" s="9"/>
      <c r="D22" s="9"/>
      <c r="E22" s="9"/>
      <c r="F22" s="9"/>
      <c r="G22" s="9"/>
      <c r="H22" s="9"/>
      <c r="I22" s="9"/>
    </row>
    <row r="23" spans="1:13" ht="15" x14ac:dyDescent="0.2">
      <c r="A23" s="8" t="s">
        <v>134</v>
      </c>
      <c r="B23" s="9"/>
      <c r="C23" s="9"/>
      <c r="D23" s="9"/>
      <c r="E23" s="9"/>
      <c r="F23" s="9"/>
      <c r="G23" s="9"/>
      <c r="H23" s="9"/>
      <c r="I23" s="9"/>
    </row>
    <row r="24" spans="1:13" ht="15" x14ac:dyDescent="0.2">
      <c r="A24" s="8" t="s">
        <v>135</v>
      </c>
      <c r="B24" s="9"/>
      <c r="C24" s="9"/>
      <c r="D24" s="9"/>
      <c r="E24" s="9"/>
      <c r="F24" s="9"/>
      <c r="G24" s="9"/>
      <c r="H24" s="9"/>
      <c r="I24" s="9"/>
    </row>
    <row r="25" spans="1:13" ht="15" x14ac:dyDescent="0.2">
      <c r="A25" s="5" t="s">
        <v>136</v>
      </c>
    </row>
    <row r="26" spans="1:13" ht="14.25" x14ac:dyDescent="0.2">
      <c r="A26" s="5"/>
    </row>
    <row r="27" spans="1:13" ht="15" x14ac:dyDescent="0.2">
      <c r="A27" s="3" t="s">
        <v>7</v>
      </c>
      <c r="M27" s="4" t="s">
        <v>130</v>
      </c>
    </row>
    <row r="28" spans="1:13" ht="15" x14ac:dyDescent="0.2">
      <c r="A28" s="5" t="s">
        <v>137</v>
      </c>
    </row>
    <row r="29" spans="1:13" ht="15" x14ac:dyDescent="0.2">
      <c r="A29" s="8" t="s">
        <v>138</v>
      </c>
      <c r="B29" s="9"/>
      <c r="C29" s="9"/>
      <c r="D29" s="9"/>
    </row>
    <row r="30" spans="1:13" ht="15" x14ac:dyDescent="0.2">
      <c r="A30" s="5" t="s">
        <v>139</v>
      </c>
    </row>
    <row r="31" spans="1:13" ht="15" x14ac:dyDescent="0.2">
      <c r="A31" s="5" t="s">
        <v>140</v>
      </c>
    </row>
    <row r="32" spans="1:13" ht="15" x14ac:dyDescent="0.2">
      <c r="A32" s="8" t="s">
        <v>141</v>
      </c>
      <c r="B32" s="9"/>
      <c r="C32" s="9"/>
      <c r="D32" s="9"/>
    </row>
    <row r="33" spans="1:15" ht="15" x14ac:dyDescent="0.2">
      <c r="A33" s="5" t="s">
        <v>142</v>
      </c>
    </row>
    <row r="34" spans="1:15" ht="14.25" x14ac:dyDescent="0.2">
      <c r="A34" s="5"/>
    </row>
    <row r="35" spans="1:15" ht="15" x14ac:dyDescent="0.2">
      <c r="A35" s="3" t="s">
        <v>8</v>
      </c>
    </row>
    <row r="36" spans="1:15" ht="15.75" thickBot="1" x14ac:dyDescent="0.25">
      <c r="A36" s="3"/>
      <c r="E36" s="1" t="s">
        <v>144</v>
      </c>
      <c r="H36">
        <f>10*LOG10((0.1+FF/100)/0.000000000001)</f>
        <v>112.04119982655925</v>
      </c>
      <c r="I36" s="1" t="s">
        <v>145</v>
      </c>
    </row>
    <row r="37" spans="1:15" ht="15.75" thickBot="1" x14ac:dyDescent="0.25">
      <c r="A37" s="4" t="s">
        <v>143</v>
      </c>
      <c r="E37" s="7" t="s">
        <v>146</v>
      </c>
      <c r="I37" s="21">
        <f>Lw-11+10*LOG10(2)-20*LOG10(10+DD)</f>
        <v>81.128939069634299</v>
      </c>
      <c r="J37" s="22" t="s">
        <v>145</v>
      </c>
    </row>
    <row r="38" spans="1:15" ht="15" x14ac:dyDescent="0.2">
      <c r="A38" s="4"/>
    </row>
    <row r="39" spans="1:15" ht="28.5" customHeight="1" x14ac:dyDescent="0.2">
      <c r="A39" s="48" t="s">
        <v>9</v>
      </c>
      <c r="B39" s="49"/>
      <c r="C39" s="49"/>
      <c r="D39" s="49"/>
      <c r="E39" s="49"/>
      <c r="F39" s="49"/>
      <c r="G39" s="49"/>
      <c r="H39" s="49"/>
      <c r="I39" s="49"/>
      <c r="J39" s="49"/>
      <c r="K39" s="49"/>
      <c r="L39" s="49"/>
      <c r="M39" s="49"/>
      <c r="N39" s="49"/>
      <c r="O39" s="49"/>
    </row>
    <row r="40" spans="1:15" ht="12" customHeight="1" thickBot="1" x14ac:dyDescent="0.25">
      <c r="A40" s="10"/>
      <c r="B40" s="11"/>
      <c r="C40" s="11"/>
      <c r="D40" s="11"/>
      <c r="E40" s="7" t="s">
        <v>147</v>
      </c>
      <c r="F40" s="13"/>
      <c r="G40">
        <f>0.16*(200+EE*10)/(2+CC/5)</f>
        <v>15.384615384615383</v>
      </c>
      <c r="H40" s="12" t="s">
        <v>148</v>
      </c>
      <c r="I40" s="11"/>
      <c r="J40" s="11"/>
      <c r="K40" s="11"/>
      <c r="L40" s="11"/>
      <c r="M40" s="11"/>
      <c r="N40" s="11"/>
      <c r="O40" s="11"/>
    </row>
    <row r="41" spans="1:15" ht="15.75" thickBot="1" x14ac:dyDescent="0.25">
      <c r="A41" s="4" t="s">
        <v>143</v>
      </c>
      <c r="E41" s="7" t="s">
        <v>149</v>
      </c>
      <c r="I41" s="21">
        <f>Lw+10*LOG10(4/A)</f>
        <v>106.19093330626742</v>
      </c>
      <c r="J41" s="22" t="s">
        <v>145</v>
      </c>
    </row>
    <row r="42" spans="1:15" ht="15" x14ac:dyDescent="0.2">
      <c r="A42" s="4"/>
    </row>
    <row r="43" spans="1:15" ht="15.75" thickBot="1" x14ac:dyDescent="0.25">
      <c r="A43" s="3" t="s">
        <v>10</v>
      </c>
    </row>
    <row r="44" spans="1:15" ht="15.75" thickBot="1" x14ac:dyDescent="0.25">
      <c r="A44" s="4" t="s">
        <v>143</v>
      </c>
      <c r="E44" s="7" t="s">
        <v>158</v>
      </c>
      <c r="I44" s="21">
        <f>Lw +10*LOG10(2/(4*PI()*(0.5+FF/10)^2)+4/A)</f>
        <v>107.96888366706283</v>
      </c>
      <c r="J44" s="22" t="s">
        <v>145</v>
      </c>
    </row>
    <row r="45" spans="1:15" ht="15" x14ac:dyDescent="0.2">
      <c r="A45" s="4"/>
    </row>
    <row r="46" spans="1:15" ht="28.5" customHeight="1" x14ac:dyDescent="0.2">
      <c r="A46" s="48" t="s">
        <v>11</v>
      </c>
      <c r="B46" s="49"/>
      <c r="C46" s="49"/>
      <c r="D46" s="49"/>
      <c r="E46" s="49"/>
      <c r="F46" s="49"/>
      <c r="G46" s="49"/>
      <c r="H46" s="49"/>
      <c r="I46" s="49"/>
      <c r="J46" s="49"/>
      <c r="K46" s="49"/>
      <c r="L46" s="49"/>
      <c r="M46" s="49"/>
      <c r="N46" s="49"/>
      <c r="O46" s="49"/>
    </row>
    <row r="47" spans="1:15" ht="15" x14ac:dyDescent="0.2">
      <c r="A47" s="14" t="s">
        <v>143</v>
      </c>
      <c r="B47" s="15"/>
      <c r="C47" s="15"/>
      <c r="D47" s="15"/>
    </row>
    <row r="48" spans="1:15" ht="15" x14ac:dyDescent="0.2">
      <c r="A48" s="6"/>
    </row>
    <row r="49" spans="1:11" ht="15" x14ac:dyDescent="0.2">
      <c r="A49" s="6" t="s">
        <v>150</v>
      </c>
      <c r="B49">
        <v>31.5</v>
      </c>
      <c r="C49">
        <v>63</v>
      </c>
      <c r="D49">
        <v>125</v>
      </c>
      <c r="E49">
        <v>250</v>
      </c>
      <c r="F49">
        <v>500</v>
      </c>
      <c r="G49">
        <v>1000</v>
      </c>
      <c r="H49">
        <v>2000</v>
      </c>
      <c r="I49">
        <v>4000</v>
      </c>
      <c r="J49">
        <v>8000</v>
      </c>
      <c r="K49">
        <v>16000</v>
      </c>
    </row>
    <row r="50" spans="1:11" x14ac:dyDescent="0.2">
      <c r="A50" s="1" t="s">
        <v>151</v>
      </c>
      <c r="B50">
        <f t="shared" ref="B50:K50" si="0">70+EE</f>
        <v>75</v>
      </c>
      <c r="C50">
        <f t="shared" si="0"/>
        <v>75</v>
      </c>
      <c r="D50">
        <f t="shared" si="0"/>
        <v>75</v>
      </c>
      <c r="E50">
        <f t="shared" si="0"/>
        <v>75</v>
      </c>
      <c r="F50">
        <f t="shared" si="0"/>
        <v>75</v>
      </c>
      <c r="G50">
        <f t="shared" si="0"/>
        <v>75</v>
      </c>
      <c r="H50">
        <f t="shared" si="0"/>
        <v>75</v>
      </c>
      <c r="I50">
        <f t="shared" si="0"/>
        <v>75</v>
      </c>
      <c r="J50">
        <f t="shared" si="0"/>
        <v>75</v>
      </c>
      <c r="K50">
        <f t="shared" si="0"/>
        <v>75</v>
      </c>
    </row>
    <row r="51" spans="1:11" x14ac:dyDescent="0.2">
      <c r="A51" s="1" t="s">
        <v>152</v>
      </c>
      <c r="B51">
        <v>-39.4</v>
      </c>
      <c r="C51">
        <v>-26.2</v>
      </c>
      <c r="D51">
        <v>-16.100000000000001</v>
      </c>
      <c r="E51">
        <v>-8.6</v>
      </c>
      <c r="F51">
        <v>-3.2</v>
      </c>
      <c r="G51">
        <v>0</v>
      </c>
      <c r="H51">
        <v>1.2</v>
      </c>
      <c r="I51">
        <v>1</v>
      </c>
      <c r="J51">
        <v>-1.1000000000000001</v>
      </c>
      <c r="K51">
        <v>-6.6</v>
      </c>
    </row>
    <row r="52" spans="1:11" x14ac:dyDescent="0.2">
      <c r="A52" s="1" t="s">
        <v>153</v>
      </c>
      <c r="B52">
        <f>B50+B51</f>
        <v>35.6</v>
      </c>
      <c r="C52">
        <f t="shared" ref="C52:K52" si="1">C50+C51</f>
        <v>48.8</v>
      </c>
      <c r="D52">
        <f t="shared" si="1"/>
        <v>58.9</v>
      </c>
      <c r="E52">
        <f t="shared" si="1"/>
        <v>66.400000000000006</v>
      </c>
      <c r="F52">
        <f t="shared" si="1"/>
        <v>71.8</v>
      </c>
      <c r="G52">
        <f t="shared" si="1"/>
        <v>75</v>
      </c>
      <c r="H52">
        <f t="shared" si="1"/>
        <v>76.2</v>
      </c>
      <c r="I52">
        <f t="shared" si="1"/>
        <v>76</v>
      </c>
      <c r="J52">
        <f t="shared" si="1"/>
        <v>73.900000000000006</v>
      </c>
      <c r="K52">
        <f t="shared" si="1"/>
        <v>68.400000000000006</v>
      </c>
    </row>
    <row r="53" spans="1:11" ht="13.5" thickBot="1" x14ac:dyDescent="0.25">
      <c r="A53" s="1" t="s">
        <v>154</v>
      </c>
      <c r="B53">
        <f>10^(B52/10)</f>
        <v>3630.7805477010188</v>
      </c>
      <c r="C53">
        <f t="shared" ref="C53:K53" si="2">10^(C52/10)</f>
        <v>75857.757502918481</v>
      </c>
      <c r="D53">
        <f t="shared" si="2"/>
        <v>776247.11662869214</v>
      </c>
      <c r="E53">
        <f t="shared" si="2"/>
        <v>4365158.3224016698</v>
      </c>
      <c r="F53">
        <f t="shared" si="2"/>
        <v>15135612.48436212</v>
      </c>
      <c r="G53">
        <f t="shared" si="2"/>
        <v>31622776.601683889</v>
      </c>
      <c r="H53">
        <f t="shared" si="2"/>
        <v>41686938.347033612</v>
      </c>
      <c r="I53">
        <f t="shared" si="2"/>
        <v>39810717.055349804</v>
      </c>
      <c r="J53">
        <f t="shared" si="2"/>
        <v>24547089.156850401</v>
      </c>
      <c r="K53">
        <f t="shared" si="2"/>
        <v>6918309.7091893917</v>
      </c>
    </row>
    <row r="54" spans="1:11" ht="13.5" thickBot="1" x14ac:dyDescent="0.25">
      <c r="D54" s="1" t="s">
        <v>155</v>
      </c>
      <c r="I54" s="21">
        <f>10*LOG10(SUM(B53:K53))</f>
        <v>82.173321444832197</v>
      </c>
      <c r="J54" s="22" t="s">
        <v>156</v>
      </c>
    </row>
    <row r="56" spans="1:11" x14ac:dyDescent="0.2">
      <c r="A56" s="1" t="s">
        <v>180</v>
      </c>
      <c r="B56" s="44">
        <f>I54-B50</f>
        <v>7.1733214448321974</v>
      </c>
      <c r="C56" s="1" t="s">
        <v>145</v>
      </c>
    </row>
  </sheetData>
  <mergeCells count="2">
    <mergeCell ref="A39:O39"/>
    <mergeCell ref="A46:O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Form Responses 1</vt:lpstr>
      <vt:lpstr>Solution</vt:lpstr>
      <vt:lpstr>A</vt:lpstr>
      <vt:lpstr>AA</vt:lpstr>
      <vt:lpstr>BB</vt:lpstr>
      <vt:lpstr>CC</vt:lpstr>
      <vt:lpstr>DD</vt:lpstr>
      <vt:lpstr>EE</vt:lpstr>
      <vt:lpstr>FF</vt:lpstr>
      <vt:lpstr>Lw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farina</dc:creator>
  <cp:lastModifiedBy>farina</cp:lastModifiedBy>
  <dcterms:created xsi:type="dcterms:W3CDTF">2018-11-16T10:04:35Z</dcterms:created>
  <dcterms:modified xsi:type="dcterms:W3CDTF">2018-11-26T18:33:08Z</dcterms:modified>
</cp:coreProperties>
</file>