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pplied-Acoustics\Tests-2018\"/>
    </mc:Choice>
  </mc:AlternateContent>
  <bookViews>
    <workbookView xWindow="936" yWindow="0" windowWidth="22104" windowHeight="9780"/>
  </bookViews>
  <sheets>
    <sheet name="Form Responses 1" sheetId="1" r:id="rId1"/>
    <sheet name="Solution" sheetId="2" r:id="rId2"/>
  </sheets>
  <definedNames>
    <definedName name="A">Solution!$H$2</definedName>
    <definedName name="B">Solution!$I$2</definedName>
    <definedName name="CC">Solution!$J$2</definedName>
    <definedName name="D">Solution!$K$2</definedName>
    <definedName name="E">Solution!$L$2</definedName>
    <definedName name="F">Solution!$M$2</definedName>
    <definedName name="rE">Solution!$R$15</definedName>
    <definedName name="SWR">Solution!$S$12</definedName>
  </definedNames>
  <calcPr calcId="162913"/>
</workbook>
</file>

<file path=xl/calcChain.xml><?xml version="1.0" encoding="utf-8"?>
<calcChain xmlns="http://schemas.openxmlformats.org/spreadsheetml/2006/main">
  <c r="AO16" i="1" l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  <c r="AH3" i="1"/>
  <c r="AJ3" i="1"/>
  <c r="AH4" i="1"/>
  <c r="AJ4" i="1" s="1"/>
  <c r="AH5" i="1"/>
  <c r="AJ5" i="1"/>
  <c r="AH6" i="1"/>
  <c r="AJ6" i="1"/>
  <c r="AH7" i="1"/>
  <c r="AJ7" i="1" s="1"/>
  <c r="AH8" i="1"/>
  <c r="AJ8" i="1"/>
  <c r="AH9" i="1"/>
  <c r="AJ9" i="1"/>
  <c r="AH10" i="1"/>
  <c r="AJ10" i="1" s="1"/>
  <c r="AH11" i="1"/>
  <c r="AJ11" i="1"/>
  <c r="AH12" i="1"/>
  <c r="AJ12" i="1"/>
  <c r="AH13" i="1"/>
  <c r="AJ13" i="1" s="1"/>
  <c r="AH14" i="1"/>
  <c r="AH15" i="1"/>
  <c r="AJ15" i="1" s="1"/>
  <c r="AH16" i="1"/>
  <c r="AJ16" i="1" s="1"/>
  <c r="AJ17" i="1"/>
  <c r="AH2" i="1"/>
  <c r="AJ2" i="1"/>
  <c r="AD3" i="1"/>
  <c r="AF3" i="1"/>
  <c r="AD4" i="1"/>
  <c r="AF4" i="1" s="1"/>
  <c r="AD5" i="1"/>
  <c r="AF5" i="1" s="1"/>
  <c r="AD6" i="1"/>
  <c r="AF6" i="1"/>
  <c r="AD7" i="1"/>
  <c r="AF7" i="1"/>
  <c r="AD8" i="1"/>
  <c r="AF8" i="1"/>
  <c r="AD9" i="1"/>
  <c r="AF9" i="1"/>
  <c r="AD10" i="1"/>
  <c r="AF10" i="1" s="1"/>
  <c r="AD11" i="1"/>
  <c r="AF11" i="1" s="1"/>
  <c r="AD12" i="1"/>
  <c r="AF12" i="1"/>
  <c r="AD13" i="1"/>
  <c r="AF13" i="1"/>
  <c r="AD14" i="1"/>
  <c r="AD15" i="1"/>
  <c r="AF15" i="1"/>
  <c r="AD16" i="1"/>
  <c r="AF16" i="1" s="1"/>
  <c r="AF17" i="1"/>
  <c r="AD2" i="1"/>
  <c r="AF2" i="1"/>
  <c r="Z3" i="1"/>
  <c r="AA3" i="1"/>
  <c r="AB3" i="1" s="1"/>
  <c r="Z4" i="1"/>
  <c r="AA4" i="1" s="1"/>
  <c r="AB4" i="1" s="1"/>
  <c r="Z5" i="1"/>
  <c r="AA5" i="1"/>
  <c r="AB5" i="1" s="1"/>
  <c r="Z6" i="1"/>
  <c r="AA6" i="1" s="1"/>
  <c r="AB6" i="1" s="1"/>
  <c r="Z7" i="1"/>
  <c r="AA7" i="1"/>
  <c r="AB7" i="1" s="1"/>
  <c r="Z8" i="1"/>
  <c r="AA8" i="1" s="1"/>
  <c r="AB8" i="1"/>
  <c r="Z9" i="1"/>
  <c r="AA9" i="1"/>
  <c r="AB9" i="1"/>
  <c r="Z10" i="1"/>
  <c r="AA10" i="1" s="1"/>
  <c r="AB10" i="1" s="1"/>
  <c r="Z11" i="1"/>
  <c r="AA11" i="1"/>
  <c r="AB11" i="1"/>
  <c r="Z12" i="1"/>
  <c r="AA12" i="1" s="1"/>
  <c r="AB12" i="1"/>
  <c r="Z13" i="1"/>
  <c r="AA13" i="1"/>
  <c r="AB13" i="1" s="1"/>
  <c r="Z14" i="1"/>
  <c r="AA14" i="1" s="1"/>
  <c r="AB14" i="1"/>
  <c r="Z15" i="1"/>
  <c r="AA15" i="1" s="1"/>
  <c r="AB15" i="1" s="1"/>
  <c r="Z16" i="1"/>
  <c r="AA16" i="1" s="1"/>
  <c r="AB16" i="1"/>
  <c r="AB17" i="1"/>
  <c r="AA2" i="1"/>
  <c r="Z2" i="1"/>
  <c r="AB2" i="1" s="1"/>
  <c r="X17" i="1" l="1"/>
  <c r="M12" i="2"/>
  <c r="T17" i="1"/>
  <c r="T16" i="1"/>
  <c r="T14" i="1"/>
  <c r="T11" i="1"/>
  <c r="T8" i="1"/>
  <c r="P17" i="1"/>
  <c r="AO17" i="1" s="1"/>
  <c r="F2" i="1"/>
  <c r="F17" i="1"/>
  <c r="G17" i="1" s="1"/>
  <c r="F3" i="1"/>
  <c r="G3" i="1"/>
  <c r="F4" i="1"/>
  <c r="G4" i="1"/>
  <c r="H4" i="1" s="1"/>
  <c r="F5" i="1"/>
  <c r="F6" i="1"/>
  <c r="G6" i="1" s="1"/>
  <c r="F7" i="1"/>
  <c r="G7" i="1" s="1"/>
  <c r="F8" i="1"/>
  <c r="G8" i="1"/>
  <c r="H8" i="1" s="1"/>
  <c r="F9" i="1"/>
  <c r="G9" i="1"/>
  <c r="F10" i="1"/>
  <c r="G10" i="1" s="1"/>
  <c r="F11" i="1"/>
  <c r="G11" i="1" s="1"/>
  <c r="F12" i="1"/>
  <c r="G12" i="1" s="1"/>
  <c r="H12" i="1" s="1"/>
  <c r="F13" i="1"/>
  <c r="G13" i="1"/>
  <c r="F14" i="1"/>
  <c r="G14" i="1" s="1"/>
  <c r="F15" i="1"/>
  <c r="G15" i="1" s="1"/>
  <c r="F16" i="1"/>
  <c r="G16" i="1" s="1"/>
  <c r="R21" i="2"/>
  <c r="H2" i="2"/>
  <c r="I8" i="1" l="1"/>
  <c r="H6" i="1"/>
  <c r="H14" i="1"/>
  <c r="I14" i="1"/>
  <c r="H10" i="1"/>
  <c r="I10" i="1" s="1"/>
  <c r="H3" i="1"/>
  <c r="H11" i="1"/>
  <c r="H7" i="1"/>
  <c r="I7" i="1" s="1"/>
  <c r="I6" i="1"/>
  <c r="H13" i="1"/>
  <c r="H15" i="1"/>
  <c r="H16" i="1"/>
  <c r="I16" i="1" s="1"/>
  <c r="H9" i="1"/>
  <c r="I9" i="1" s="1"/>
  <c r="G5" i="1"/>
  <c r="H5" i="1" s="1"/>
  <c r="I5" i="1" s="1"/>
  <c r="H17" i="1"/>
  <c r="I17" i="1" s="1"/>
  <c r="I12" i="1"/>
  <c r="I4" i="1"/>
  <c r="I15" i="1"/>
  <c r="I13" i="1"/>
  <c r="I11" i="1"/>
  <c r="G2" i="1"/>
  <c r="I2" i="2"/>
  <c r="J2" i="2" s="1"/>
  <c r="K2" i="2" s="1"/>
  <c r="K8" i="1" l="1"/>
  <c r="V8" i="1" s="1"/>
  <c r="W8" i="1" s="1"/>
  <c r="X8" i="1" s="1"/>
  <c r="I3" i="1"/>
  <c r="J8" i="1"/>
  <c r="J10" i="1"/>
  <c r="K10" i="1" s="1"/>
  <c r="V10" i="1" s="1"/>
  <c r="W10" i="1" s="1"/>
  <c r="X10" i="1" s="1"/>
  <c r="J16" i="1"/>
  <c r="R5" i="1"/>
  <c r="K12" i="1"/>
  <c r="V12" i="1" s="1"/>
  <c r="W12" i="1" s="1"/>
  <c r="X12" i="1" s="1"/>
  <c r="R12" i="1"/>
  <c r="T12" i="1" s="1"/>
  <c r="R11" i="1"/>
  <c r="J7" i="1"/>
  <c r="K7" i="1" s="1"/>
  <c r="J12" i="1"/>
  <c r="J14" i="1"/>
  <c r="K14" i="1" s="1"/>
  <c r="V14" i="1" s="1"/>
  <c r="W14" i="1" s="1"/>
  <c r="X14" i="1" s="1"/>
  <c r="J6" i="1"/>
  <c r="K6" i="1" s="1"/>
  <c r="J4" i="1"/>
  <c r="K4" i="1" s="1"/>
  <c r="J17" i="1"/>
  <c r="J5" i="1"/>
  <c r="K5" i="1" s="1"/>
  <c r="V5" i="1" s="1"/>
  <c r="W5" i="1" s="1"/>
  <c r="X5" i="1" s="1"/>
  <c r="J9" i="1"/>
  <c r="K9" i="1" s="1"/>
  <c r="J11" i="1"/>
  <c r="K11" i="1" s="1"/>
  <c r="V11" i="1" s="1"/>
  <c r="W11" i="1" s="1"/>
  <c r="X11" i="1" s="1"/>
  <c r="J13" i="1"/>
  <c r="K13" i="1" s="1"/>
  <c r="J15" i="1"/>
  <c r="K15" i="1" s="1"/>
  <c r="H2" i="1"/>
  <c r="L2" i="2"/>
  <c r="K17" i="1" l="1"/>
  <c r="AD17" i="1" s="1"/>
  <c r="V4" i="1"/>
  <c r="W4" i="1" s="1"/>
  <c r="X4" i="1" s="1"/>
  <c r="N4" i="1"/>
  <c r="P4" i="1" s="1"/>
  <c r="N6" i="1"/>
  <c r="P6" i="1" s="1"/>
  <c r="V6" i="1"/>
  <c r="W6" i="1" s="1"/>
  <c r="X6" i="1" s="1"/>
  <c r="N12" i="1"/>
  <c r="P12" i="1" s="1"/>
  <c r="N5" i="1"/>
  <c r="P5" i="1" s="1"/>
  <c r="R4" i="1"/>
  <c r="N7" i="1"/>
  <c r="P7" i="1" s="1"/>
  <c r="V7" i="1"/>
  <c r="W7" i="1" s="1"/>
  <c r="X7" i="1" s="1"/>
  <c r="N15" i="1"/>
  <c r="P15" i="1" s="1"/>
  <c r="V15" i="1"/>
  <c r="W15" i="1" s="1"/>
  <c r="X15" i="1" s="1"/>
  <c r="N13" i="1"/>
  <c r="P13" i="1" s="1"/>
  <c r="V13" i="1"/>
  <c r="W13" i="1" s="1"/>
  <c r="X13" i="1" s="1"/>
  <c r="R8" i="1"/>
  <c r="N9" i="1"/>
  <c r="P9" i="1" s="1"/>
  <c r="V9" i="1"/>
  <c r="W9" i="1" s="1"/>
  <c r="X9" i="1" s="1"/>
  <c r="N8" i="1"/>
  <c r="P8" i="1" s="1"/>
  <c r="N11" i="1"/>
  <c r="P11" i="1" s="1"/>
  <c r="J3" i="1"/>
  <c r="R16" i="1"/>
  <c r="N10" i="1"/>
  <c r="P10" i="1" s="1"/>
  <c r="R10" i="1"/>
  <c r="T10" i="1" s="1"/>
  <c r="N14" i="1"/>
  <c r="R14" i="1"/>
  <c r="R7" i="1"/>
  <c r="R13" i="1"/>
  <c r="T13" i="1" s="1"/>
  <c r="K16" i="1"/>
  <c r="R15" i="1"/>
  <c r="T15" i="1" s="1"/>
  <c r="R6" i="1"/>
  <c r="T6" i="1" s="1"/>
  <c r="R9" i="1"/>
  <c r="T9" i="1" s="1"/>
  <c r="I2" i="1"/>
  <c r="M2" i="2"/>
  <c r="S12" i="2" s="1"/>
  <c r="R15" i="2"/>
  <c r="L15" i="2" s="1"/>
  <c r="R17" i="1" l="1"/>
  <c r="V17" i="1"/>
  <c r="W17" i="1" s="1"/>
  <c r="N17" i="1"/>
  <c r="AH17" i="1"/>
  <c r="Z17" i="1"/>
  <c r="AA17" i="1" s="1"/>
  <c r="N16" i="1"/>
  <c r="P16" i="1" s="1"/>
  <c r="V16" i="1"/>
  <c r="W16" i="1" s="1"/>
  <c r="X16" i="1" s="1"/>
  <c r="R3" i="1"/>
  <c r="T3" i="1" s="1"/>
  <c r="K3" i="1"/>
  <c r="J2" i="1"/>
  <c r="K2" i="1" s="1"/>
  <c r="V2" i="1" s="1"/>
  <c r="W2" i="1" s="1"/>
  <c r="X2" i="1" s="1"/>
  <c r="L18" i="2"/>
  <c r="L9" i="2"/>
  <c r="N2" i="1" l="1"/>
  <c r="P2" i="1" s="1"/>
  <c r="R2" i="1"/>
  <c r="T2" i="1" s="1"/>
  <c r="V3" i="1"/>
  <c r="W3" i="1" s="1"/>
  <c r="X3" i="1" s="1"/>
  <c r="N3" i="1"/>
  <c r="P3" i="1" s="1"/>
  <c r="N5" i="2"/>
</calcChain>
</file>

<file path=xl/sharedStrings.xml><?xml version="1.0" encoding="utf-8"?>
<sst xmlns="http://schemas.openxmlformats.org/spreadsheetml/2006/main" count="284" uniqueCount="150">
  <si>
    <t>Timestamp</t>
  </si>
  <si>
    <t>Email Address</t>
  </si>
  <si>
    <t>Surname and Name</t>
  </si>
  <si>
    <t>Matricula</t>
  </si>
  <si>
    <t>1) Compute the value of Lep at the end of a work day, during which the SPL was 75+F dB(A) for 4+D/2 hours and 82+E/2 dB(A) for 1+E/5 hours</t>
  </si>
  <si>
    <t>2) Inside a room having a volume V=300+D*20 m³, a reverberation time T1 of 3+F/10s is measured. A number of sound absorbing baffles are added under the ceiling, causing the reverberation time to drop to T2=1+D/10 s. Compute the total absorption area of one baffle, knowing their number N=10+E.</t>
  </si>
  <si>
    <t xml:space="preserve">3) In a standing wave tube a pure tone at 1000 Hz is generated. The maximum value of SPL is 80+F dB and the minimum value is 70+E dB. Compute the sound absorption coefficient α of the sample according to ISO 10534. </t>
  </si>
  <si>
    <t>4) A sound intensity probe is placed in front of an absorbing surface. The Sound Intensity Level in the 1 kHz octave band is 75+F/2 dB, while the Energy Density Level is 80+E/2 dB. Compute the sound absorption coefficient α of the sample with the Sound Intensity method.</t>
  </si>
  <si>
    <t>5) A truck passage was recorded, with a total duration of 70+F s and an Leq = 65+E dB(A). Compute the value of SEL</t>
  </si>
  <si>
    <t>6) After a 24h measurement of environmental noise, the following three values are found: LA,eq,day = 60+F dB(A), LA,eq,evening = 60+E/2 dB(A), LA,eq,night = 55+D/2 dB(A). Compute the value of LDEN.</t>
  </si>
  <si>
    <t>7) What's the decay rate with distance for a point-like source ?</t>
  </si>
  <si>
    <t xml:space="preserve">8) What's the decay rate with distance for a line source ?	</t>
  </si>
  <si>
    <t>edoardo.menghini@studenti.unipr.it</t>
  </si>
  <si>
    <t xml:space="preserve">Menghini Edoardo </t>
  </si>
  <si>
    <t>78.4 dB(A)</t>
  </si>
  <si>
    <t>2.93 m2</t>
  </si>
  <si>
    <t>83.7 dB(A)</t>
  </si>
  <si>
    <t>64.9 dB(A)</t>
  </si>
  <si>
    <t>6 dB / doubling distance</t>
  </si>
  <si>
    <t>3 dB / doubling distance</t>
  </si>
  <si>
    <t>luca.pagliarini@studenti.unipr.it</t>
  </si>
  <si>
    <t>Pagliarini Luca</t>
  </si>
  <si>
    <t>83.6 dB(A)</t>
  </si>
  <si>
    <t>2.1 m2</t>
  </si>
  <si>
    <t>90 dB(A)</t>
  </si>
  <si>
    <t>68 dB(A)</t>
  </si>
  <si>
    <t>nicholas.rocchi@studenti.unipr.it</t>
  </si>
  <si>
    <t>Rocchi Nicholas</t>
  </si>
  <si>
    <t>82.1 dB(A)</t>
  </si>
  <si>
    <t>1.273 m^2</t>
  </si>
  <si>
    <t>90.6 dB(A)</t>
  </si>
  <si>
    <t>65.9 dB(A)</t>
  </si>
  <si>
    <t>evana.mahfuth@studenti.unipr.it</t>
  </si>
  <si>
    <t>MAHFUTH EVANA</t>
  </si>
  <si>
    <t>79.9 dB(A)</t>
  </si>
  <si>
    <t>2.48 m^2</t>
  </si>
  <si>
    <t>85.75 dB(A)</t>
  </si>
  <si>
    <t>65.4 dB(A)</t>
  </si>
  <si>
    <t>marco.simonazzi1@studenti.unipr.it</t>
  </si>
  <si>
    <t>Simonazzi Marco</t>
  </si>
  <si>
    <t>81.5 dB(A)</t>
  </si>
  <si>
    <t>1.1954 m2</t>
  </si>
  <si>
    <t>90.5 dB(A)</t>
  </si>
  <si>
    <t>65.3 dB(A)</t>
  </si>
  <si>
    <t>veronica.mattioli@studenti.unipr.it</t>
  </si>
  <si>
    <t>Mattioli Veronica</t>
  </si>
  <si>
    <t>82 dB(A)</t>
  </si>
  <si>
    <t>1.89 m^2</t>
  </si>
  <si>
    <t>88.8 dB(A)</t>
  </si>
  <si>
    <t>66.3 dB(A)</t>
  </si>
  <si>
    <t>luca.storchi@studenti.unipr.it</t>
  </si>
  <si>
    <t>Storchi Luca</t>
  </si>
  <si>
    <t>81.9 dB(A)</t>
  </si>
  <si>
    <t>60.8 dB(A)</t>
  </si>
  <si>
    <t>michele.gregorelli@studenti.unipr.it</t>
  </si>
  <si>
    <t>Gregorelli Michele</t>
  </si>
  <si>
    <t>90.97 dB(A)</t>
  </si>
  <si>
    <t>2.01 m2</t>
  </si>
  <si>
    <t>90.8 dB(A)</t>
  </si>
  <si>
    <t>63.3 dB(A)</t>
  </si>
  <si>
    <t>angelo.traina@studenti.unipr.it</t>
  </si>
  <si>
    <t>Traina Angelo</t>
  </si>
  <si>
    <t>83.411 dB(A)</t>
  </si>
  <si>
    <t>1.870 m2</t>
  </si>
  <si>
    <t>86.920 dB(A)</t>
  </si>
  <si>
    <t>67.892 dB(A)</t>
  </si>
  <si>
    <t>mounisha.minumula@studenti.unipr.it</t>
  </si>
  <si>
    <t xml:space="preserve">Minumulamounisha </t>
  </si>
  <si>
    <t>84 dB(A)</t>
  </si>
  <si>
    <t>87.976 dB(A)</t>
  </si>
  <si>
    <t>69.042 dB(A)</t>
  </si>
  <si>
    <t>lucia.gallegoolivares@studenti.unipr.it</t>
  </si>
  <si>
    <t>GALLEGO OLIVARES, LUCIA</t>
  </si>
  <si>
    <t>84.88 dB(A)</t>
  </si>
  <si>
    <t>1.57 m2</t>
  </si>
  <si>
    <t>87.97 dB(A)</t>
  </si>
  <si>
    <t>67.016 dB(A)</t>
  </si>
  <si>
    <t>francesco.cabrini1@studenti.unipr.it</t>
  </si>
  <si>
    <t>Cabrini Francesco</t>
  </si>
  <si>
    <t>81.2 dB(A)</t>
  </si>
  <si>
    <t>1.94 m2</t>
  </si>
  <si>
    <t>64.1 dB(A)</t>
  </si>
  <si>
    <t>monashivajirao.chavan@studenti.unipr.it</t>
  </si>
  <si>
    <t xml:space="preserve">Chavan mona shivaji rao </t>
  </si>
  <si>
    <t>79.27dB(A)</t>
  </si>
  <si>
    <t>85.633dB(A)</t>
  </si>
  <si>
    <t>65.86dB(A)</t>
  </si>
  <si>
    <t>khuram.shahzad@studenti.unipr.it</t>
  </si>
  <si>
    <t>Shahzad Khuram</t>
  </si>
  <si>
    <t>83.72 dB(A)</t>
  </si>
  <si>
    <t>1.39 m2</t>
  </si>
  <si>
    <t>89.86 dB(A)</t>
  </si>
  <si>
    <t>67.64 dB(A)</t>
  </si>
  <si>
    <t>luca.pettenati@studenti.unipr.it</t>
  </si>
  <si>
    <t>Pettenati Luca</t>
  </si>
  <si>
    <t>80.3 dB(A)</t>
  </si>
  <si>
    <t>84.75 dB(A)</t>
  </si>
  <si>
    <t>66.04 dB(A)</t>
  </si>
  <si>
    <t>N.</t>
  </si>
  <si>
    <t>Applied Acoustics - 21/12/2018</t>
  </si>
  <si>
    <r>
      <t>Write number and measurement unit (with a space in between and no other spaces)</t>
    </r>
    <r>
      <rPr>
        <sz val="11"/>
        <color rgb="FF000000"/>
        <rFont val="Calibri"/>
        <family val="2"/>
      </rPr>
      <t xml:space="preserve"> </t>
    </r>
  </si>
  <si>
    <t>2) Inside a room having a volume V=300+D*20 m³, a reverberation time T1 of 3+F/10s is measured. A number of sound absorbing baffles are added under the ceiling, causing the reverberation time to drop to T2=1+D/10 s.</t>
  </si>
  <si>
    <t>Compute the total absorption area of one baffle, knowing their number N=10+E.</t>
  </si>
  <si>
    <t>Write number and measurement unit (with a space in between and no other spaces)</t>
  </si>
  <si>
    <r>
      <t>3) In a standing wave tube a pure tone at 1000 Hz is generated. The maximum value of SPL is 80+F dB and the minimum value is 70+E dB. Compute the sound absorption coefficient α of the sample according to ISO 10534.</t>
    </r>
    <r>
      <rPr>
        <b/>
        <i/>
        <sz val="11"/>
        <color rgb="FF000000"/>
        <rFont val="Calibri"/>
        <family val="2"/>
      </rPr>
      <t xml:space="preserve"> </t>
    </r>
  </si>
  <si>
    <r>
      <t>write number and measurement unit (with a space in between and no other spaces)</t>
    </r>
    <r>
      <rPr>
        <sz val="11"/>
        <color rgb="FF000000"/>
        <rFont val="Calibri"/>
        <family val="2"/>
      </rPr>
      <t xml:space="preserve"> </t>
    </r>
  </si>
  <si>
    <t xml:space="preserve"> </t>
  </si>
  <si>
    <t xml:space="preserve">write number and measurement unit (with a space in between and no other spaces) </t>
  </si>
  <si>
    <r>
      <t>6) After a 24h measurement of environmental noise, the following three values are found: L</t>
    </r>
    <r>
      <rPr>
        <b/>
        <vertAlign val="subscript"/>
        <sz val="11"/>
        <color rgb="FF000000"/>
        <rFont val="Calibri"/>
        <family val="2"/>
      </rPr>
      <t>A,eq,day</t>
    </r>
    <r>
      <rPr>
        <b/>
        <sz val="11"/>
        <color rgb="FF000000"/>
        <rFont val="Calibri"/>
        <family val="2"/>
      </rPr>
      <t xml:space="preserve"> = 60+F dB(A), L</t>
    </r>
    <r>
      <rPr>
        <b/>
        <vertAlign val="subscript"/>
        <sz val="11"/>
        <color rgb="FF000000"/>
        <rFont val="Calibri"/>
        <family val="2"/>
      </rPr>
      <t>A,eq,evening</t>
    </r>
    <r>
      <rPr>
        <b/>
        <sz val="11"/>
        <color rgb="FF000000"/>
        <rFont val="Calibri"/>
        <family val="2"/>
      </rPr>
      <t xml:space="preserve"> = 60+E/2 dB(A), L</t>
    </r>
    <r>
      <rPr>
        <b/>
        <vertAlign val="subscript"/>
        <sz val="11"/>
        <color rgb="FF000000"/>
        <rFont val="Calibri"/>
        <family val="2"/>
      </rPr>
      <t>A,eq,night</t>
    </r>
    <r>
      <rPr>
        <b/>
        <sz val="11"/>
        <color rgb="FF000000"/>
        <rFont val="Calibri"/>
        <family val="2"/>
      </rPr>
      <t xml:space="preserve"> = 55+D/2 dB(A). Compute the value of L</t>
    </r>
    <r>
      <rPr>
        <b/>
        <vertAlign val="subscript"/>
        <sz val="11"/>
        <color rgb="FF000000"/>
        <rFont val="Calibri"/>
        <family val="2"/>
      </rPr>
      <t>DEN</t>
    </r>
    <r>
      <rPr>
        <b/>
        <sz val="11"/>
        <color rgb="FF000000"/>
        <rFont val="Calibri"/>
        <family val="2"/>
      </rPr>
      <t>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</si>
  <si>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3 dB / octave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</si>
  <si>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6 dB / meter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</si>
  <si>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6 dB / doubling distance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</si>
  <si>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3 dB / doubling distance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</si>
  <si>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DL2 = 3 dB</t>
    </r>
  </si>
  <si>
    <t>8) What's the decay rate with distance for a line source ?</t>
  </si>
  <si>
    <t>Lep = 10*log10((t1*10^(L1/10)+t2*10^(L2/10))/8h) =</t>
  </si>
  <si>
    <t>A</t>
  </si>
  <si>
    <t>B</t>
  </si>
  <si>
    <t>C</t>
  </si>
  <si>
    <t>D</t>
  </si>
  <si>
    <t>E</t>
  </si>
  <si>
    <t>F</t>
  </si>
  <si>
    <t>dB(A)</t>
  </si>
  <si>
    <t>A = 0.16*V/N*(1/T2 - 1/T1) =</t>
  </si>
  <si>
    <t>m2</t>
  </si>
  <si>
    <t>Alfa =  1 - ((SWR-1)/(SWR+1))^2 =</t>
  </si>
  <si>
    <t>SWR = 10^((SPLmax-SPLmin)/20) =</t>
  </si>
  <si>
    <t>Alfa = 1 -((1-rE)/(1+rE)) =</t>
  </si>
  <si>
    <t>rE = 10^((Li-Ld)/10) =</t>
  </si>
  <si>
    <t>SEL = Leq +10*log10(t) =</t>
  </si>
  <si>
    <r>
      <t>L</t>
    </r>
    <r>
      <rPr>
        <vertAlign val="subscript"/>
        <sz val="10"/>
        <color rgb="FF000000"/>
        <rFont val="Arial"/>
        <family val="2"/>
      </rPr>
      <t>DEN</t>
    </r>
    <r>
      <rPr>
        <sz val="10"/>
        <color rgb="FF000000"/>
        <rFont val="Arial"/>
        <family val="2"/>
      </rPr>
      <t xml:space="preserve"> = 10*log10((14*10^(L</t>
    </r>
    <r>
      <rPr>
        <vertAlign val="subscript"/>
        <sz val="10"/>
        <color rgb="FF000000"/>
        <rFont val="Arial"/>
        <family val="2"/>
      </rPr>
      <t>A,eq,day</t>
    </r>
    <r>
      <rPr>
        <sz val="10"/>
        <color rgb="FF000000"/>
        <rFont val="Arial"/>
        <family val="2"/>
      </rPr>
      <t>/10) + 2*10^((L</t>
    </r>
    <r>
      <rPr>
        <vertAlign val="subscript"/>
        <sz val="10"/>
        <color rgb="FF000000"/>
        <rFont val="Arial"/>
        <family val="2"/>
      </rPr>
      <t>A,eq,evening</t>
    </r>
    <r>
      <rPr>
        <sz val="10"/>
        <color rgb="FF000000"/>
        <rFont val="Arial"/>
        <family val="2"/>
      </rPr>
      <t>+5)/10) + 8*10^((L</t>
    </r>
    <r>
      <rPr>
        <vertAlign val="subscript"/>
        <sz val="10"/>
        <color rgb="FF000000"/>
        <rFont val="Arial"/>
        <family val="2"/>
      </rPr>
      <t>A,eq,night</t>
    </r>
    <r>
      <rPr>
        <sz val="10"/>
        <color rgb="FF000000"/>
        <rFont val="Arial"/>
        <family val="2"/>
      </rPr>
      <t>+10)/10))/24) =</t>
    </r>
  </si>
  <si>
    <t>(one answer only)</t>
  </si>
  <si>
    <t>Online bonus</t>
  </si>
  <si>
    <t>OK value</t>
  </si>
  <si>
    <t>OK unit</t>
  </si>
  <si>
    <t>Score</t>
  </si>
  <si>
    <t>Colour markings:</t>
  </si>
  <si>
    <t>wrong or missing measurement unit (ERROR!)</t>
  </si>
  <si>
    <t>Note: 0 points if the number is still OK, -1 if the number is also wrong</t>
  </si>
  <si>
    <t>decimal comma instead of decimal dot (not error, this time)</t>
  </si>
  <si>
    <t>missing space between number and measurmenet unit (not error, this time)</t>
  </si>
  <si>
    <t>SWR</t>
  </si>
  <si>
    <t>rE</t>
  </si>
  <si>
    <t>Total SCORE</t>
  </si>
  <si>
    <t>offline</t>
  </si>
  <si>
    <t>sonashivajirao.chavan@studenti.unipr.it</t>
  </si>
  <si>
    <t>Chavan sona shivaji rao</t>
  </si>
  <si>
    <t>82.3 dB(A)</t>
  </si>
  <si>
    <t>91.633 dB(A)</t>
  </si>
  <si>
    <t>67.385 dB(A)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</si>
</sst>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\ h:mm:ss"/>
    <numFmt numFmtId="169" formatCode="0.0"/>
    <numFmt numFmtId="170" formatCode="0.000"/>
  </numFmts>
  <fonts count="19" x14ac:knownFonts="1">
    <font>
      <sz val="10"/>
      <color rgb="FF000000"/>
      <name val="Arial"/>
    </font>
    <font>
      <sz val="10"/>
      <name val="Arial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6"/>
      <color rgb="FF000000"/>
      <name val="Calibri"/>
      <family val="2"/>
    </font>
    <font>
      <b/>
      <i/>
      <sz val="11"/>
      <color rgb="FF000000"/>
      <name val="Calibri"/>
      <family val="2"/>
    </font>
    <font>
      <sz val="10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sz val="10"/>
      <name val="Arial"/>
      <family val="2"/>
    </font>
    <font>
      <vertAlign val="subscript"/>
      <sz val="10"/>
      <color rgb="FF000000"/>
      <name val="Arial"/>
      <family val="2"/>
    </font>
    <font>
      <b/>
      <sz val="10"/>
      <name val="Arial"/>
      <family val="2"/>
    </font>
    <font>
      <sz val="10"/>
      <color rgb="FF008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3" fillId="0" borderId="0" xfId="0" applyFont="1" applyAlignment="1"/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9" fontId="4" fillId="0" borderId="0" xfId="0" applyNumberFormat="1" applyFont="1" applyAlignment="1"/>
    <xf numFmtId="0" fontId="4" fillId="0" borderId="0" xfId="0" applyFont="1" applyAlignment="1"/>
    <xf numFmtId="170" fontId="4" fillId="0" borderId="0" xfId="0" applyNumberFormat="1" applyFont="1" applyAlignment="1"/>
    <xf numFmtId="0" fontId="13" fillId="2" borderId="0" xfId="0" applyFont="1" applyFill="1" applyAlignment="1">
      <alignment horizontal="left" vertical="center" indent="4"/>
    </xf>
    <xf numFmtId="0" fontId="0" fillId="2" borderId="0" xfId="0" applyFont="1" applyFill="1" applyAlignment="1"/>
    <xf numFmtId="0" fontId="0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170" fontId="18" fillId="0" borderId="1" xfId="0" applyNumberFormat="1" applyFont="1" applyBorder="1" applyAlignment="1">
      <alignment horizontal="center"/>
    </xf>
    <xf numFmtId="0" fontId="15" fillId="0" borderId="1" xfId="0" applyFont="1" applyBorder="1" applyAlignment="1"/>
    <xf numFmtId="169" fontId="1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  <xf numFmtId="0" fontId="3" fillId="5" borderId="0" xfId="0" applyFont="1" applyFill="1" applyAlignment="1">
      <alignment horizontal="left"/>
    </xf>
    <xf numFmtId="0" fontId="0" fillId="5" borderId="0" xfId="0" applyFont="1" applyFill="1" applyAlignment="1"/>
    <xf numFmtId="0" fontId="15" fillId="0" borderId="0" xfId="0" applyFont="1" applyFill="1" applyBorder="1" applyAlignment="1"/>
    <xf numFmtId="0" fontId="3" fillId="6" borderId="0" xfId="0" applyFont="1" applyFill="1" applyAlignment="1">
      <alignment horizontal="left"/>
    </xf>
    <xf numFmtId="0" fontId="0" fillId="6" borderId="0" xfId="0" applyFont="1" applyFill="1" applyAlignment="1"/>
    <xf numFmtId="0" fontId="3" fillId="7" borderId="0" xfId="0" applyFont="1" applyFill="1" applyAlignment="1">
      <alignment horizontal="left"/>
    </xf>
    <xf numFmtId="0" fontId="0" fillId="7" borderId="0" xfId="0" applyFont="1" applyFill="1" applyAlignment="1"/>
    <xf numFmtId="0" fontId="4" fillId="0" borderId="0" xfId="0" applyFont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164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" xfId="0" applyFont="1" applyBorder="1" applyAlignment="1"/>
    <xf numFmtId="0" fontId="1" fillId="7" borderId="1" xfId="0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8" xfId="0" applyFont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69" fontId="18" fillId="0" borderId="8" xfId="0" applyNumberFormat="1" applyFont="1" applyBorder="1" applyAlignment="1">
      <alignment horizontal="center"/>
    </xf>
    <xf numFmtId="0" fontId="15" fillId="0" borderId="8" xfId="0" applyFont="1" applyBorder="1" applyAlignment="1"/>
    <xf numFmtId="0" fontId="1" fillId="0" borderId="8" xfId="0" applyFont="1" applyBorder="1" applyAlignment="1"/>
    <xf numFmtId="170" fontId="18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39"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7</xdr:row>
          <xdr:rowOff>45720</xdr:rowOff>
        </xdr:from>
        <xdr:to>
          <xdr:col>15</xdr:col>
          <xdr:colOff>114300</xdr:colOff>
          <xdr:row>9</xdr:row>
          <xdr:rowOff>166756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O22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14.44140625" defaultRowHeight="15.75" customHeight="1" x14ac:dyDescent="0.25"/>
  <cols>
    <col min="1" max="1" width="4.6640625" style="1" customWidth="1"/>
    <col min="2" max="2" width="18" customWidth="1"/>
    <col min="3" max="3" width="33.77734375" customWidth="1"/>
    <col min="4" max="4" width="25.5546875" customWidth="1"/>
    <col min="5" max="5" width="8.33203125" customWidth="1"/>
    <col min="6" max="11" width="2.77734375" customWidth="1"/>
    <col min="12" max="12" width="6.44140625" customWidth="1"/>
    <col min="13" max="13" width="21.5546875" customWidth="1"/>
    <col min="14" max="14" width="6.21875" customWidth="1"/>
    <col min="15" max="15" width="6.109375" customWidth="1"/>
    <col min="16" max="16" width="6" customWidth="1"/>
    <col min="17" max="17" width="40.44140625" customWidth="1"/>
    <col min="18" max="18" width="8" customWidth="1"/>
    <col min="19" max="19" width="7.109375" customWidth="1"/>
    <col min="20" max="20" width="6.33203125" customWidth="1"/>
    <col min="21" max="21" width="26.77734375" customWidth="1"/>
    <col min="22" max="23" width="5.88671875" customWidth="1"/>
    <col min="24" max="24" width="6.33203125" customWidth="1"/>
    <col min="25" max="25" width="29.44140625" customWidth="1"/>
    <col min="26" max="28" width="6.33203125" customWidth="1"/>
    <col min="29" max="29" width="21.5546875" customWidth="1"/>
    <col min="30" max="32" width="6.44140625" customWidth="1"/>
    <col min="33" max="33" width="26.21875" customWidth="1"/>
    <col min="34" max="36" width="6.6640625" customWidth="1"/>
    <col min="37" max="37" width="21.5546875" customWidth="1"/>
    <col min="38" max="38" width="6.44140625" customWidth="1"/>
    <col min="39" max="39" width="21.5546875" customWidth="1"/>
    <col min="40" max="40" width="6" customWidth="1"/>
    <col min="41" max="41" width="8.6640625" customWidth="1"/>
    <col min="42" max="45" width="21.5546875" customWidth="1"/>
  </cols>
  <sheetData>
    <row r="1" spans="1:41" ht="117" customHeight="1" x14ac:dyDescent="0.25">
      <c r="A1" s="34" t="s">
        <v>98</v>
      </c>
      <c r="B1" s="35" t="s">
        <v>0</v>
      </c>
      <c r="C1" s="35" t="s">
        <v>1</v>
      </c>
      <c r="D1" s="35" t="s">
        <v>2</v>
      </c>
      <c r="E1" s="36" t="s">
        <v>3</v>
      </c>
      <c r="F1" s="36" t="s">
        <v>116</v>
      </c>
      <c r="G1" s="36" t="s">
        <v>117</v>
      </c>
      <c r="H1" s="36" t="s">
        <v>118</v>
      </c>
      <c r="I1" s="36" t="s">
        <v>119</v>
      </c>
      <c r="J1" s="36" t="s">
        <v>120</v>
      </c>
      <c r="K1" s="36" t="s">
        <v>121</v>
      </c>
      <c r="L1" s="37" t="s">
        <v>132</v>
      </c>
      <c r="M1" s="38" t="s">
        <v>4</v>
      </c>
      <c r="N1" s="37" t="s">
        <v>133</v>
      </c>
      <c r="O1" s="37" t="s">
        <v>134</v>
      </c>
      <c r="P1" s="37" t="s">
        <v>135</v>
      </c>
      <c r="Q1" s="38" t="s">
        <v>5</v>
      </c>
      <c r="R1" s="37" t="s">
        <v>133</v>
      </c>
      <c r="S1" s="37" t="s">
        <v>134</v>
      </c>
      <c r="T1" s="37" t="s">
        <v>135</v>
      </c>
      <c r="U1" s="38" t="s">
        <v>6</v>
      </c>
      <c r="V1" s="38" t="s">
        <v>141</v>
      </c>
      <c r="W1" s="37" t="s">
        <v>133</v>
      </c>
      <c r="X1" s="37" t="s">
        <v>135</v>
      </c>
      <c r="Y1" s="38" t="s">
        <v>7</v>
      </c>
      <c r="Z1" s="37" t="s">
        <v>142</v>
      </c>
      <c r="AA1" s="37" t="s">
        <v>133</v>
      </c>
      <c r="AB1" s="37" t="s">
        <v>135</v>
      </c>
      <c r="AC1" s="38" t="s">
        <v>8</v>
      </c>
      <c r="AD1" s="37" t="s">
        <v>133</v>
      </c>
      <c r="AE1" s="37" t="s">
        <v>134</v>
      </c>
      <c r="AF1" s="37" t="s">
        <v>135</v>
      </c>
      <c r="AG1" s="38" t="s">
        <v>9</v>
      </c>
      <c r="AH1" s="37" t="s">
        <v>133</v>
      </c>
      <c r="AI1" s="37" t="s">
        <v>134</v>
      </c>
      <c r="AJ1" s="37" t="s">
        <v>135</v>
      </c>
      <c r="AK1" s="38" t="s">
        <v>10</v>
      </c>
      <c r="AL1" s="37" t="s">
        <v>135</v>
      </c>
      <c r="AM1" s="38" t="s">
        <v>11</v>
      </c>
      <c r="AN1" s="37" t="s">
        <v>135</v>
      </c>
      <c r="AO1" s="39" t="s">
        <v>143</v>
      </c>
    </row>
    <row r="2" spans="1:41" ht="15.75" customHeight="1" x14ac:dyDescent="0.25">
      <c r="A2" s="40">
        <v>1</v>
      </c>
      <c r="B2" s="41">
        <v>43455.705227430561</v>
      </c>
      <c r="C2" s="42" t="s">
        <v>12</v>
      </c>
      <c r="D2" s="42" t="s">
        <v>13</v>
      </c>
      <c r="E2" s="43">
        <v>288204</v>
      </c>
      <c r="F2" s="19">
        <f>INT(E2/100000)</f>
        <v>2</v>
      </c>
      <c r="G2" s="19">
        <f t="shared" ref="G2" si="0">INT(($E2-100000*F2)/10000)</f>
        <v>8</v>
      </c>
      <c r="H2" s="19">
        <f t="shared" ref="H2" si="1">INT(($E2-100000*F2-10000*G2)/1000)</f>
        <v>8</v>
      </c>
      <c r="I2" s="19">
        <f>INT(($E2-100000*$F2-10000*$G2-1000*$H2)/100)</f>
        <v>2</v>
      </c>
      <c r="J2" s="19">
        <f>INT(($E2-100000*$F2-10000*$G2-1000*$H2-100*$I2)/10)</f>
        <v>0</v>
      </c>
      <c r="K2" s="19">
        <f>INT(($E2-100000*$F2-10000*$G2-1000*$H2-100*$I2-10*$J2))</f>
        <v>4</v>
      </c>
      <c r="L2" s="20">
        <v>2</v>
      </c>
      <c r="M2" s="42" t="s">
        <v>14</v>
      </c>
      <c r="N2" s="23">
        <f>10*LOG10(((4+I2/2)*10^((75+K2)/10)+(1+J2/5)*10^((82+J2/2)/10))/8)</f>
        <v>78.417140177268976</v>
      </c>
      <c r="O2" s="22" t="s">
        <v>122</v>
      </c>
      <c r="P2" s="20">
        <f>IF(M2="",0,IF(EXACT(RIGHT(M2,5),"dB(A)"),IF(ABS(VALUE(LEFT(M2,FIND(" ",M2,1)))-N2)&lt;=0.5,1,-1),-1))</f>
        <v>1</v>
      </c>
      <c r="Q2" s="42" t="s">
        <v>15</v>
      </c>
      <c r="R2" s="23">
        <f>0.16*(300+I2*20)/(10+J2)*(1/(1+I2/10)-1/(3+K2/10))</f>
        <v>2.9333333333333336</v>
      </c>
      <c r="S2" s="22" t="s">
        <v>124</v>
      </c>
      <c r="T2" s="20">
        <f>IF(Q2="",0,IF(EXACT(RIGHT(Q2,2),"m2"),IF(ABS(VALUE(LEFT(Q2,FIND(" ",Q2,1)))-R2)/R2&lt;=0.05,1,-1),-1))</f>
        <v>1</v>
      </c>
      <c r="U2" s="42">
        <v>0.55500000000000005</v>
      </c>
      <c r="V2" s="42">
        <f>10^(((80+K2)-(70+J2))/20)</f>
        <v>5.0118723362727229</v>
      </c>
      <c r="W2" s="21">
        <f>1-((V2-1)/(V2+1))^2</f>
        <v>0.55467742663364483</v>
      </c>
      <c r="X2" s="20">
        <f>IF(U2="",0,IF(ABS(U2-W2)/W2&lt;=0.05,1,-1))</f>
        <v>1</v>
      </c>
      <c r="Y2" s="42">
        <v>0.66800000000000004</v>
      </c>
      <c r="Z2" s="42">
        <f>10^((75+K2/2-80-J2/2)/10)</f>
        <v>0.50118723362727224</v>
      </c>
      <c r="AA2" s="21">
        <f>1-((1-Z2)/(1+Z2))</f>
        <v>0.66772115083375583</v>
      </c>
      <c r="AB2" s="20">
        <f>IF(Y2="",0,IF(ABS(Y2-AA2)/AA2&lt;=0.05,1,-1))</f>
        <v>1</v>
      </c>
      <c r="AC2" s="42" t="s">
        <v>16</v>
      </c>
      <c r="AD2" s="23">
        <f>65+J2+10*LOG10(70+K2)</f>
        <v>83.692317197309762</v>
      </c>
      <c r="AE2" s="22" t="s">
        <v>122</v>
      </c>
      <c r="AF2" s="20">
        <f>IF(AC2="",0,IF(EXACT(RIGHT(AC2,5),"dB(A)"),IF(ABS(VALUE(LEFT(AC2,FIND(" ",AC2,1)))-AD2)&lt;=0.5,1,-1),-1))</f>
        <v>1</v>
      </c>
      <c r="AG2" s="42" t="s">
        <v>17</v>
      </c>
      <c r="AH2" s="23">
        <f xml:space="preserve"> 10*LOG10((14*10^((60+K2)/10) + 2*10^((60+J2/2+5)/10) + 8*10^((55+I2/2+10)/10))/24)</f>
        <v>64.85126934053585</v>
      </c>
      <c r="AI2" s="22" t="s">
        <v>122</v>
      </c>
      <c r="AJ2" s="20">
        <f>IF(AG2="",0,IF(EXACT(RIGHT(AG2,5),"dB(A)"),IF(ABS(VALUE(LEFT(AG2,FIND(" ",AG2,1)))-AH2)&lt;=0.5,1,-1),-1))</f>
        <v>1</v>
      </c>
      <c r="AK2" s="42" t="s">
        <v>18</v>
      </c>
      <c r="AL2" s="20">
        <v>1</v>
      </c>
      <c r="AM2" s="42" t="s">
        <v>19</v>
      </c>
      <c r="AN2" s="20">
        <v>1</v>
      </c>
      <c r="AO2" s="44">
        <f>L2+P2+T2+X2+AB2+AF2+AJ2+AL2+AN2</f>
        <v>10</v>
      </c>
    </row>
    <row r="3" spans="1:41" ht="15.75" customHeight="1" x14ac:dyDescent="0.25">
      <c r="A3" s="40">
        <v>2</v>
      </c>
      <c r="B3" s="41">
        <v>43455.708018645833</v>
      </c>
      <c r="C3" s="42" t="s">
        <v>20</v>
      </c>
      <c r="D3" s="42" t="s">
        <v>21</v>
      </c>
      <c r="E3" s="43">
        <v>288169</v>
      </c>
      <c r="F3" s="19">
        <f t="shared" ref="F3:F16" si="2">INT(E3/100000)</f>
        <v>2</v>
      </c>
      <c r="G3" s="19">
        <f t="shared" ref="G3:G17" si="3">INT(($E3-100000*F3)/10000)</f>
        <v>8</v>
      </c>
      <c r="H3" s="19">
        <f t="shared" ref="H3:H17" si="4">INT(($E3-100000*F3-10000*G3)/1000)</f>
        <v>8</v>
      </c>
      <c r="I3" s="19">
        <f t="shared" ref="I3:I16" si="5">INT(($E3-100000*$F3-10000*$G3-1000*$H3)/100)</f>
        <v>1</v>
      </c>
      <c r="J3" s="19">
        <f t="shared" ref="J3:J16" si="6">INT(($E3-100000*$F3-10000*$G3-1000*$H3-100*$I3)/10)</f>
        <v>6</v>
      </c>
      <c r="K3" s="19">
        <f t="shared" ref="K3:K16" si="7">INT(($E3-100000*$F3-10000*$G3-1000*$H3-100*$I3-10*$J3))</f>
        <v>9</v>
      </c>
      <c r="L3" s="20">
        <v>2</v>
      </c>
      <c r="M3" s="42" t="s">
        <v>22</v>
      </c>
      <c r="N3" s="23">
        <f t="shared" ref="N3:N17" si="8">10*LOG10(((4+I3/2)*10^((75+K3)/10)+(1+J3/5)*10^((82+J3/2)/10))/8)</f>
        <v>83.584226731108728</v>
      </c>
      <c r="O3" s="22" t="s">
        <v>122</v>
      </c>
      <c r="P3" s="20">
        <f t="shared" ref="P3:P17" si="9">IF(M3="",0,IF(EXACT(RIGHT(M3,5),"dB(A)"),IF(ABS(VALUE(LEFT(M3,FIND(" ",M3,1)))-N3)&lt;=0.5,1,-1),-1))</f>
        <v>1</v>
      </c>
      <c r="Q3" s="42" t="s">
        <v>23</v>
      </c>
      <c r="R3" s="23">
        <f t="shared" ref="R3:R17" si="10">0.16*(300+I3*20)/(10+J3)*(1/(1+I3/10)-1/(3+K3/10))</f>
        <v>2.0885780885780885</v>
      </c>
      <c r="S3" s="22" t="s">
        <v>124</v>
      </c>
      <c r="T3" s="20">
        <f t="shared" ref="T3:T17" si="11">IF(Q3="",0,IF(EXACT(RIGHT(Q3,2),"m2"),IF(ABS(VALUE(LEFT(Q3,FIND(" ",Q3,1)))-R3)/R3&lt;=0.05,1,-1),-1))</f>
        <v>1</v>
      </c>
      <c r="U3" s="42">
        <v>0.59799999999999998</v>
      </c>
      <c r="V3" s="42">
        <f t="shared" ref="V3:V17" si="12">10^(((80+K3)-(70+J3))/20)</f>
        <v>4.4668359215096318</v>
      </c>
      <c r="W3" s="21">
        <f t="shared" ref="W3:W17" si="13">1-((V3-1)/(V3+1))^2</f>
        <v>0.59784405160954102</v>
      </c>
      <c r="X3" s="20">
        <f t="shared" ref="X3:X17" si="14">IF(U3="",0,IF(ABS(U3-W3)/W3&lt;=0.05,1,-1))</f>
        <v>1</v>
      </c>
      <c r="Y3" s="42">
        <v>0.61799999999999999</v>
      </c>
      <c r="Z3" s="42">
        <f t="shared" ref="Z3:Z17" si="15">10^((75+K3/2-80-J3/2)/10)</f>
        <v>0.44668359215096315</v>
      </c>
      <c r="AA3" s="21">
        <f t="shared" ref="AA3:AA17" si="16">1-((1-Z3)/(1+Z3))</f>
        <v>0.61752769517047401</v>
      </c>
      <c r="AB3" s="20">
        <f t="shared" ref="AB3:AB17" si="17">IF(Y3="",0,IF(ABS(Y3-AA3)/AA3&lt;=0.05,1,-1))</f>
        <v>1</v>
      </c>
      <c r="AC3" s="42" t="s">
        <v>24</v>
      </c>
      <c r="AD3" s="23">
        <f t="shared" ref="AD3:AD17" si="18">65+J3+10*LOG10(70+K3)</f>
        <v>89.976270912904411</v>
      </c>
      <c r="AE3" s="22" t="s">
        <v>122</v>
      </c>
      <c r="AF3" s="20">
        <f t="shared" ref="AF3:AF17" si="19">IF(AC3="",0,IF(EXACT(RIGHT(AC3,5),"dB(A)"),IF(ABS(VALUE(LEFT(AC3,FIND(" ",AC3,1)))-AD3)&lt;=0.5,1,-1),-1))</f>
        <v>1</v>
      </c>
      <c r="AG3" s="42" t="s">
        <v>25</v>
      </c>
      <c r="AH3" s="23">
        <f t="shared" ref="AH3:AH17" si="20" xml:space="preserve"> 10*LOG10((14*10^((60+K3)/10) + 2*10^((60+J3/2+5)/10) + 8*10^((55+I3/2+10)/10))/24)</f>
        <v>68.022324318378267</v>
      </c>
      <c r="AI3" s="22" t="s">
        <v>122</v>
      </c>
      <c r="AJ3" s="20">
        <f t="shared" ref="AJ3:AJ17" si="21">IF(AG3="",0,IF(EXACT(RIGHT(AG3,5),"dB(A)"),IF(ABS(VALUE(LEFT(AG3,FIND(" ",AG3,1)))-AH3)&lt;=0.5,1,-1),-1))</f>
        <v>1</v>
      </c>
      <c r="AK3" s="42" t="s">
        <v>18</v>
      </c>
      <c r="AL3" s="20">
        <v>1</v>
      </c>
      <c r="AM3" s="42" t="s">
        <v>19</v>
      </c>
      <c r="AN3" s="20">
        <v>1</v>
      </c>
      <c r="AO3" s="44">
        <f t="shared" ref="AO3:AO18" si="22">L3+P3+T3+X3+AB3+AF3+AJ3+AL3+AN3</f>
        <v>10</v>
      </c>
    </row>
    <row r="4" spans="1:41" ht="15.75" customHeight="1" x14ac:dyDescent="0.25">
      <c r="A4" s="40">
        <v>3</v>
      </c>
      <c r="B4" s="41">
        <v>43455.711743009262</v>
      </c>
      <c r="C4" s="42" t="s">
        <v>26</v>
      </c>
      <c r="D4" s="42" t="s">
        <v>27</v>
      </c>
      <c r="E4" s="43">
        <v>289673</v>
      </c>
      <c r="F4" s="19">
        <f t="shared" si="2"/>
        <v>2</v>
      </c>
      <c r="G4" s="19">
        <f t="shared" si="3"/>
        <v>8</v>
      </c>
      <c r="H4" s="19">
        <f t="shared" si="4"/>
        <v>9</v>
      </c>
      <c r="I4" s="19">
        <f t="shared" si="5"/>
        <v>6</v>
      </c>
      <c r="J4" s="19">
        <f t="shared" si="6"/>
        <v>7</v>
      </c>
      <c r="K4" s="19">
        <f t="shared" si="7"/>
        <v>3</v>
      </c>
      <c r="L4" s="20">
        <v>2</v>
      </c>
      <c r="M4" s="42" t="s">
        <v>28</v>
      </c>
      <c r="N4" s="23">
        <f t="shared" si="8"/>
        <v>82.085831895809903</v>
      </c>
      <c r="O4" s="22" t="s">
        <v>122</v>
      </c>
      <c r="P4" s="20">
        <f t="shared" si="9"/>
        <v>1</v>
      </c>
      <c r="Q4" s="42" t="s">
        <v>29</v>
      </c>
      <c r="R4" s="23">
        <f t="shared" si="10"/>
        <v>1.2727272727272727</v>
      </c>
      <c r="S4" s="22" t="s">
        <v>124</v>
      </c>
      <c r="T4" s="20">
        <v>1</v>
      </c>
      <c r="U4" s="42">
        <v>0.89</v>
      </c>
      <c r="V4" s="42">
        <f t="shared" si="12"/>
        <v>1.9952623149688797</v>
      </c>
      <c r="W4" s="21">
        <f t="shared" si="13"/>
        <v>0.88959076639675638</v>
      </c>
      <c r="X4" s="20">
        <f t="shared" si="14"/>
        <v>1</v>
      </c>
      <c r="Y4" s="42">
        <v>0.32700000000000001</v>
      </c>
      <c r="Z4" s="42">
        <f t="shared" si="15"/>
        <v>0.19952623149688795</v>
      </c>
      <c r="AA4" s="21">
        <f t="shared" si="16"/>
        <v>0.33267506163312377</v>
      </c>
      <c r="AB4" s="20">
        <f t="shared" si="17"/>
        <v>1</v>
      </c>
      <c r="AC4" s="42" t="s">
        <v>30</v>
      </c>
      <c r="AD4" s="23">
        <f t="shared" si="18"/>
        <v>90.633228601204564</v>
      </c>
      <c r="AE4" s="22" t="s">
        <v>122</v>
      </c>
      <c r="AF4" s="20">
        <f t="shared" si="19"/>
        <v>1</v>
      </c>
      <c r="AG4" s="42" t="s">
        <v>31</v>
      </c>
      <c r="AH4" s="23">
        <f t="shared" si="20"/>
        <v>65.862551545682777</v>
      </c>
      <c r="AI4" s="22" t="s">
        <v>122</v>
      </c>
      <c r="AJ4" s="20">
        <f t="shared" si="21"/>
        <v>1</v>
      </c>
      <c r="AK4" s="42" t="s">
        <v>18</v>
      </c>
      <c r="AL4" s="20">
        <v>1</v>
      </c>
      <c r="AM4" s="42" t="s">
        <v>19</v>
      </c>
      <c r="AN4" s="20">
        <v>1</v>
      </c>
      <c r="AO4" s="44">
        <f t="shared" si="22"/>
        <v>10</v>
      </c>
    </row>
    <row r="5" spans="1:41" ht="15.75" customHeight="1" x14ac:dyDescent="0.25">
      <c r="A5" s="40">
        <v>4</v>
      </c>
      <c r="B5" s="41">
        <v>43455.715622094911</v>
      </c>
      <c r="C5" s="42" t="s">
        <v>32</v>
      </c>
      <c r="D5" s="42" t="s">
        <v>33</v>
      </c>
      <c r="E5" s="43">
        <v>299225</v>
      </c>
      <c r="F5" s="19">
        <f t="shared" si="2"/>
        <v>2</v>
      </c>
      <c r="G5" s="19">
        <f t="shared" si="3"/>
        <v>9</v>
      </c>
      <c r="H5" s="19">
        <f t="shared" si="4"/>
        <v>9</v>
      </c>
      <c r="I5" s="19">
        <f t="shared" si="5"/>
        <v>2</v>
      </c>
      <c r="J5" s="19">
        <f t="shared" si="6"/>
        <v>2</v>
      </c>
      <c r="K5" s="19">
        <f t="shared" si="7"/>
        <v>5</v>
      </c>
      <c r="L5" s="20">
        <v>2</v>
      </c>
      <c r="M5" s="42" t="s">
        <v>34</v>
      </c>
      <c r="N5" s="23">
        <f t="shared" si="8"/>
        <v>79.88635154660183</v>
      </c>
      <c r="O5" s="22" t="s">
        <v>122</v>
      </c>
      <c r="P5" s="20">
        <f t="shared" si="9"/>
        <v>1</v>
      </c>
      <c r="Q5" s="42" t="s">
        <v>35</v>
      </c>
      <c r="R5" s="23">
        <f t="shared" si="10"/>
        <v>2.4825396825396826</v>
      </c>
      <c r="S5" s="22" t="s">
        <v>124</v>
      </c>
      <c r="T5" s="20">
        <v>1</v>
      </c>
      <c r="U5" s="42">
        <v>0.59799999999999998</v>
      </c>
      <c r="V5" s="42">
        <f t="shared" si="12"/>
        <v>4.4668359215096318</v>
      </c>
      <c r="W5" s="21">
        <f t="shared" si="13"/>
        <v>0.59784405160954102</v>
      </c>
      <c r="X5" s="20">
        <f t="shared" si="14"/>
        <v>1</v>
      </c>
      <c r="Y5" s="42">
        <v>0.60799999999999998</v>
      </c>
      <c r="Z5" s="42">
        <f t="shared" si="15"/>
        <v>0.44668359215096315</v>
      </c>
      <c r="AA5" s="21">
        <f t="shared" si="16"/>
        <v>0.61752769517047401</v>
      </c>
      <c r="AB5" s="20">
        <f t="shared" si="17"/>
        <v>1</v>
      </c>
      <c r="AC5" s="42" t="s">
        <v>36</v>
      </c>
      <c r="AD5" s="23">
        <f t="shared" si="18"/>
        <v>85.750612633917001</v>
      </c>
      <c r="AE5" s="22" t="s">
        <v>122</v>
      </c>
      <c r="AF5" s="20">
        <f t="shared" si="19"/>
        <v>1</v>
      </c>
      <c r="AG5" s="42" t="s">
        <v>37</v>
      </c>
      <c r="AH5" s="23">
        <f t="shared" si="20"/>
        <v>65.444949129570986</v>
      </c>
      <c r="AI5" s="22" t="s">
        <v>122</v>
      </c>
      <c r="AJ5" s="20">
        <f t="shared" si="21"/>
        <v>1</v>
      </c>
      <c r="AK5" s="42" t="s">
        <v>18</v>
      </c>
      <c r="AL5" s="20">
        <v>1</v>
      </c>
      <c r="AM5" s="42" t="s">
        <v>19</v>
      </c>
      <c r="AN5" s="20">
        <v>1</v>
      </c>
      <c r="AO5" s="44">
        <f t="shared" si="22"/>
        <v>10</v>
      </c>
    </row>
    <row r="6" spans="1:41" ht="15.75" customHeight="1" x14ac:dyDescent="0.25">
      <c r="A6" s="40">
        <v>5</v>
      </c>
      <c r="B6" s="41">
        <v>43455.716425185186</v>
      </c>
      <c r="C6" s="42" t="s">
        <v>38</v>
      </c>
      <c r="D6" s="42" t="s">
        <v>39</v>
      </c>
      <c r="E6" s="43">
        <v>289671</v>
      </c>
      <c r="F6" s="19">
        <f t="shared" si="2"/>
        <v>2</v>
      </c>
      <c r="G6" s="19">
        <f t="shared" si="3"/>
        <v>8</v>
      </c>
      <c r="H6" s="19">
        <f t="shared" si="4"/>
        <v>9</v>
      </c>
      <c r="I6" s="19">
        <f t="shared" si="5"/>
        <v>6</v>
      </c>
      <c r="J6" s="19">
        <f t="shared" si="6"/>
        <v>7</v>
      </c>
      <c r="K6" s="19">
        <f t="shared" si="7"/>
        <v>1</v>
      </c>
      <c r="L6" s="20">
        <v>2</v>
      </c>
      <c r="M6" s="42" t="s">
        <v>40</v>
      </c>
      <c r="N6" s="23">
        <f t="shared" si="8"/>
        <v>81.500757499589781</v>
      </c>
      <c r="O6" s="22" t="s">
        <v>122</v>
      </c>
      <c r="P6" s="20">
        <f t="shared" si="9"/>
        <v>1</v>
      </c>
      <c r="Q6" s="42" t="s">
        <v>41</v>
      </c>
      <c r="R6" s="23">
        <f t="shared" si="10"/>
        <v>1.1954459203036054</v>
      </c>
      <c r="S6" s="22" t="s">
        <v>124</v>
      </c>
      <c r="T6" s="20">
        <f t="shared" si="11"/>
        <v>1</v>
      </c>
      <c r="U6" s="42">
        <v>0.94879999999999998</v>
      </c>
      <c r="V6" s="42">
        <f t="shared" si="12"/>
        <v>1.5848931924611136</v>
      </c>
      <c r="W6" s="21">
        <f t="shared" si="13"/>
        <v>0.94880023970254146</v>
      </c>
      <c r="X6" s="20">
        <f t="shared" si="14"/>
        <v>1</v>
      </c>
      <c r="Y6" s="42">
        <v>0.26900000000000002</v>
      </c>
      <c r="Z6" s="42">
        <f t="shared" si="15"/>
        <v>0.15848931924611132</v>
      </c>
      <c r="AA6" s="21">
        <f t="shared" si="16"/>
        <v>0.27361377720641988</v>
      </c>
      <c r="AB6" s="20">
        <f t="shared" si="17"/>
        <v>1</v>
      </c>
      <c r="AC6" s="42" t="s">
        <v>42</v>
      </c>
      <c r="AD6" s="23">
        <f t="shared" si="18"/>
        <v>90.512583487190753</v>
      </c>
      <c r="AE6" s="22" t="s">
        <v>122</v>
      </c>
      <c r="AF6" s="20">
        <f t="shared" si="19"/>
        <v>1</v>
      </c>
      <c r="AG6" s="42" t="s">
        <v>43</v>
      </c>
      <c r="AH6" s="23">
        <f t="shared" si="20"/>
        <v>65.349798868201972</v>
      </c>
      <c r="AI6" s="22" t="s">
        <v>122</v>
      </c>
      <c r="AJ6" s="20">
        <f t="shared" si="21"/>
        <v>1</v>
      </c>
      <c r="AK6" s="42" t="s">
        <v>18</v>
      </c>
      <c r="AL6" s="20">
        <v>1</v>
      </c>
      <c r="AM6" s="42" t="s">
        <v>19</v>
      </c>
      <c r="AN6" s="20">
        <v>1</v>
      </c>
      <c r="AO6" s="44">
        <f t="shared" si="22"/>
        <v>10</v>
      </c>
    </row>
    <row r="7" spans="1:41" ht="15.75" customHeight="1" x14ac:dyDescent="0.25">
      <c r="A7" s="40">
        <v>6</v>
      </c>
      <c r="B7" s="41">
        <v>43455.718010925921</v>
      </c>
      <c r="C7" s="42" t="s">
        <v>44</v>
      </c>
      <c r="D7" s="42" t="s">
        <v>45</v>
      </c>
      <c r="E7" s="43">
        <v>281356</v>
      </c>
      <c r="F7" s="19">
        <f t="shared" si="2"/>
        <v>2</v>
      </c>
      <c r="G7" s="19">
        <f t="shared" si="3"/>
        <v>8</v>
      </c>
      <c r="H7" s="19">
        <f t="shared" si="4"/>
        <v>1</v>
      </c>
      <c r="I7" s="19">
        <f t="shared" si="5"/>
        <v>3</v>
      </c>
      <c r="J7" s="19">
        <f t="shared" si="6"/>
        <v>5</v>
      </c>
      <c r="K7" s="19">
        <f t="shared" si="7"/>
        <v>6</v>
      </c>
      <c r="L7" s="20">
        <v>2</v>
      </c>
      <c r="M7" s="42" t="s">
        <v>46</v>
      </c>
      <c r="N7" s="23">
        <f t="shared" si="8"/>
        <v>81.959292369315648</v>
      </c>
      <c r="O7" s="22" t="s">
        <v>122</v>
      </c>
      <c r="P7" s="20">
        <f t="shared" si="9"/>
        <v>1</v>
      </c>
      <c r="Q7" s="42" t="s">
        <v>47</v>
      </c>
      <c r="R7" s="23">
        <f t="shared" si="10"/>
        <v>1.8871794871794869</v>
      </c>
      <c r="S7" s="22" t="s">
        <v>124</v>
      </c>
      <c r="T7" s="20">
        <v>1</v>
      </c>
      <c r="U7" s="42">
        <v>0.68500000000000005</v>
      </c>
      <c r="V7" s="42">
        <f t="shared" si="12"/>
        <v>3.5481338923357555</v>
      </c>
      <c r="W7" s="21">
        <f t="shared" si="13"/>
        <v>0.68610961986654484</v>
      </c>
      <c r="X7" s="20">
        <f t="shared" si="14"/>
        <v>1</v>
      </c>
      <c r="Y7" s="42">
        <v>0.52400000000000002</v>
      </c>
      <c r="Z7" s="42">
        <f t="shared" si="15"/>
        <v>0.35481338923357542</v>
      </c>
      <c r="AA7" s="21">
        <f t="shared" si="16"/>
        <v>0.52378193491916269</v>
      </c>
      <c r="AB7" s="20">
        <f t="shared" si="17"/>
        <v>1</v>
      </c>
      <c r="AC7" s="42" t="s">
        <v>48</v>
      </c>
      <c r="AD7" s="23">
        <f t="shared" si="18"/>
        <v>88.808135922807907</v>
      </c>
      <c r="AE7" s="22" t="s">
        <v>122</v>
      </c>
      <c r="AF7" s="20">
        <f t="shared" si="19"/>
        <v>1</v>
      </c>
      <c r="AG7" s="42" t="s">
        <v>49</v>
      </c>
      <c r="AH7" s="23">
        <f t="shared" si="20"/>
        <v>66.31429046017368</v>
      </c>
      <c r="AI7" s="22" t="s">
        <v>122</v>
      </c>
      <c r="AJ7" s="20">
        <f t="shared" si="21"/>
        <v>1</v>
      </c>
      <c r="AK7" s="42" t="s">
        <v>18</v>
      </c>
      <c r="AL7" s="20">
        <v>1</v>
      </c>
      <c r="AM7" s="42" t="s">
        <v>19</v>
      </c>
      <c r="AN7" s="20">
        <v>1</v>
      </c>
      <c r="AO7" s="44">
        <f t="shared" si="22"/>
        <v>10</v>
      </c>
    </row>
    <row r="8" spans="1:41" ht="15.75" customHeight="1" x14ac:dyDescent="0.25">
      <c r="A8" s="40">
        <v>7</v>
      </c>
      <c r="B8" s="41">
        <v>43455.718211064814</v>
      </c>
      <c r="C8" s="42" t="s">
        <v>50</v>
      </c>
      <c r="D8" s="42" t="s">
        <v>51</v>
      </c>
      <c r="E8" s="43">
        <v>288771</v>
      </c>
      <c r="F8" s="19">
        <f t="shared" si="2"/>
        <v>2</v>
      </c>
      <c r="G8" s="19">
        <f t="shared" si="3"/>
        <v>8</v>
      </c>
      <c r="H8" s="19">
        <f t="shared" si="4"/>
        <v>8</v>
      </c>
      <c r="I8" s="19">
        <f t="shared" si="5"/>
        <v>7</v>
      </c>
      <c r="J8" s="19">
        <f t="shared" si="6"/>
        <v>7</v>
      </c>
      <c r="K8" s="19">
        <f t="shared" si="7"/>
        <v>1</v>
      </c>
      <c r="L8" s="20">
        <v>2</v>
      </c>
      <c r="M8" s="42" t="s">
        <v>52</v>
      </c>
      <c r="N8" s="23">
        <f t="shared" si="8"/>
        <v>81.576578933163461</v>
      </c>
      <c r="O8" s="22" t="s">
        <v>122</v>
      </c>
      <c r="P8" s="20">
        <f t="shared" si="9"/>
        <v>1</v>
      </c>
      <c r="Q8" s="45"/>
      <c r="R8" s="23">
        <f t="shared" si="10"/>
        <v>1.1001227815604422</v>
      </c>
      <c r="S8" s="22" t="s">
        <v>124</v>
      </c>
      <c r="T8" s="20">
        <f t="shared" si="11"/>
        <v>0</v>
      </c>
      <c r="U8" s="42">
        <v>0.94899999999999995</v>
      </c>
      <c r="V8" s="42">
        <f t="shared" si="12"/>
        <v>1.5848931924611136</v>
      </c>
      <c r="W8" s="21">
        <f t="shared" si="13"/>
        <v>0.94880023970254146</v>
      </c>
      <c r="X8" s="20">
        <f t="shared" si="14"/>
        <v>1</v>
      </c>
      <c r="Y8" s="45"/>
      <c r="Z8" s="42">
        <f t="shared" si="15"/>
        <v>0.15848931924611132</v>
      </c>
      <c r="AA8" s="21">
        <f t="shared" si="16"/>
        <v>0.27361377720641988</v>
      </c>
      <c r="AB8" s="20">
        <f t="shared" si="17"/>
        <v>0</v>
      </c>
      <c r="AC8" s="42" t="s">
        <v>42</v>
      </c>
      <c r="AD8" s="23">
        <f t="shared" si="18"/>
        <v>90.512583487190753</v>
      </c>
      <c r="AE8" s="22" t="s">
        <v>122</v>
      </c>
      <c r="AF8" s="20">
        <f t="shared" si="19"/>
        <v>1</v>
      </c>
      <c r="AG8" s="42" t="s">
        <v>53</v>
      </c>
      <c r="AH8" s="23">
        <f t="shared" si="20"/>
        <v>65.663369809893453</v>
      </c>
      <c r="AI8" s="22" t="s">
        <v>122</v>
      </c>
      <c r="AJ8" s="20">
        <f t="shared" si="21"/>
        <v>-1</v>
      </c>
      <c r="AK8" s="42" t="s">
        <v>18</v>
      </c>
      <c r="AL8" s="20">
        <v>1</v>
      </c>
      <c r="AM8" s="42" t="s">
        <v>19</v>
      </c>
      <c r="AN8" s="20">
        <v>1</v>
      </c>
      <c r="AO8" s="44">
        <f t="shared" si="22"/>
        <v>6</v>
      </c>
    </row>
    <row r="9" spans="1:41" ht="15.75" customHeight="1" x14ac:dyDescent="0.25">
      <c r="A9" s="40">
        <v>8</v>
      </c>
      <c r="B9" s="41">
        <v>43455.727859155093</v>
      </c>
      <c r="C9" s="42" t="s">
        <v>54</v>
      </c>
      <c r="D9" s="42" t="s">
        <v>55</v>
      </c>
      <c r="E9" s="43">
        <v>293075</v>
      </c>
      <c r="F9" s="19">
        <f t="shared" si="2"/>
        <v>2</v>
      </c>
      <c r="G9" s="19">
        <f t="shared" si="3"/>
        <v>9</v>
      </c>
      <c r="H9" s="19">
        <f t="shared" si="4"/>
        <v>3</v>
      </c>
      <c r="I9" s="19">
        <f t="shared" si="5"/>
        <v>0</v>
      </c>
      <c r="J9" s="19">
        <f t="shared" si="6"/>
        <v>7</v>
      </c>
      <c r="K9" s="19">
        <f t="shared" si="7"/>
        <v>5</v>
      </c>
      <c r="L9" s="20">
        <v>2</v>
      </c>
      <c r="M9" s="42" t="s">
        <v>56</v>
      </c>
      <c r="N9" s="23">
        <f t="shared" si="8"/>
        <v>81.943589581282311</v>
      </c>
      <c r="O9" s="22" t="s">
        <v>122</v>
      </c>
      <c r="P9" s="20">
        <f t="shared" si="9"/>
        <v>-1</v>
      </c>
      <c r="Q9" s="42" t="s">
        <v>57</v>
      </c>
      <c r="R9" s="23">
        <f t="shared" si="10"/>
        <v>2.016806722689076</v>
      </c>
      <c r="S9" s="22" t="s">
        <v>124</v>
      </c>
      <c r="T9" s="20">
        <f t="shared" si="11"/>
        <v>1</v>
      </c>
      <c r="U9" s="42">
        <v>0.81399999999999995</v>
      </c>
      <c r="V9" s="42">
        <f t="shared" si="12"/>
        <v>2.5118864315095806</v>
      </c>
      <c r="W9" s="21">
        <f t="shared" si="13"/>
        <v>0.81466501266300684</v>
      </c>
      <c r="X9" s="20">
        <f t="shared" si="14"/>
        <v>1</v>
      </c>
      <c r="Y9" s="45"/>
      <c r="Z9" s="42">
        <f t="shared" si="15"/>
        <v>0.25118864315095801</v>
      </c>
      <c r="AA9" s="21">
        <f t="shared" si="16"/>
        <v>0.4015200178262035</v>
      </c>
      <c r="AB9" s="20">
        <f t="shared" si="17"/>
        <v>0</v>
      </c>
      <c r="AC9" s="42" t="s">
        <v>58</v>
      </c>
      <c r="AD9" s="23">
        <f t="shared" si="18"/>
        <v>90.750612633917001</v>
      </c>
      <c r="AE9" s="22" t="s">
        <v>122</v>
      </c>
      <c r="AF9" s="20">
        <f t="shared" si="19"/>
        <v>1</v>
      </c>
      <c r="AG9" s="42" t="s">
        <v>59</v>
      </c>
      <c r="AH9" s="23">
        <f t="shared" si="20"/>
        <v>65.426647882034899</v>
      </c>
      <c r="AI9" s="22" t="s">
        <v>122</v>
      </c>
      <c r="AJ9" s="20">
        <f t="shared" si="21"/>
        <v>-1</v>
      </c>
      <c r="AK9" s="42" t="s">
        <v>18</v>
      </c>
      <c r="AL9" s="20">
        <v>1</v>
      </c>
      <c r="AM9" s="42" t="s">
        <v>19</v>
      </c>
      <c r="AN9" s="20">
        <v>1</v>
      </c>
      <c r="AO9" s="44">
        <f t="shared" si="22"/>
        <v>5</v>
      </c>
    </row>
    <row r="10" spans="1:41" ht="15.75" customHeight="1" x14ac:dyDescent="0.25">
      <c r="A10" s="40">
        <v>9</v>
      </c>
      <c r="B10" s="41">
        <v>43455.727907129629</v>
      </c>
      <c r="C10" s="42" t="s">
        <v>60</v>
      </c>
      <c r="D10" s="42" t="s">
        <v>61</v>
      </c>
      <c r="E10" s="43">
        <v>289638</v>
      </c>
      <c r="F10" s="19">
        <f t="shared" si="2"/>
        <v>2</v>
      </c>
      <c r="G10" s="19">
        <f t="shared" si="3"/>
        <v>8</v>
      </c>
      <c r="H10" s="19">
        <f t="shared" si="4"/>
        <v>9</v>
      </c>
      <c r="I10" s="19">
        <f t="shared" si="5"/>
        <v>6</v>
      </c>
      <c r="J10" s="19">
        <f t="shared" si="6"/>
        <v>3</v>
      </c>
      <c r="K10" s="19">
        <f t="shared" si="7"/>
        <v>8</v>
      </c>
      <c r="L10" s="20">
        <v>2</v>
      </c>
      <c r="M10" s="42" t="s">
        <v>62</v>
      </c>
      <c r="N10" s="23">
        <f t="shared" si="8"/>
        <v>83.411571906228104</v>
      </c>
      <c r="O10" s="22" t="s">
        <v>122</v>
      </c>
      <c r="P10" s="20">
        <f t="shared" si="9"/>
        <v>1</v>
      </c>
      <c r="Q10" s="42" t="s">
        <v>63</v>
      </c>
      <c r="R10" s="23">
        <f t="shared" si="10"/>
        <v>1.8704453441295548</v>
      </c>
      <c r="S10" s="22" t="s">
        <v>124</v>
      </c>
      <c r="T10" s="20">
        <f t="shared" si="11"/>
        <v>1</v>
      </c>
      <c r="U10" s="42">
        <v>0.51300000000000001</v>
      </c>
      <c r="V10" s="42">
        <f t="shared" si="12"/>
        <v>5.6234132519034921</v>
      </c>
      <c r="W10" s="21">
        <f t="shared" si="13"/>
        <v>0.51273892206238414</v>
      </c>
      <c r="X10" s="20">
        <f t="shared" si="14"/>
        <v>1</v>
      </c>
      <c r="Y10" s="42">
        <v>5.0000000000000001E-3</v>
      </c>
      <c r="Z10" s="42">
        <f t="shared" si="15"/>
        <v>0.56234132519034907</v>
      </c>
      <c r="AA10" s="21">
        <f t="shared" si="16"/>
        <v>0.71987000039422977</v>
      </c>
      <c r="AB10" s="20">
        <f t="shared" si="17"/>
        <v>-1</v>
      </c>
      <c r="AC10" s="42" t="s">
        <v>64</v>
      </c>
      <c r="AD10" s="23">
        <f t="shared" si="18"/>
        <v>86.920946026904801</v>
      </c>
      <c r="AE10" s="22" t="s">
        <v>122</v>
      </c>
      <c r="AF10" s="20">
        <f t="shared" si="19"/>
        <v>1</v>
      </c>
      <c r="AG10" s="42" t="s">
        <v>65</v>
      </c>
      <c r="AH10" s="23">
        <f t="shared" si="20"/>
        <v>67.892994566450056</v>
      </c>
      <c r="AI10" s="22" t="s">
        <v>122</v>
      </c>
      <c r="AJ10" s="20">
        <f t="shared" si="21"/>
        <v>1</v>
      </c>
      <c r="AK10" s="42" t="s">
        <v>18</v>
      </c>
      <c r="AL10" s="20">
        <v>1</v>
      </c>
      <c r="AM10" s="42" t="s">
        <v>19</v>
      </c>
      <c r="AN10" s="20">
        <v>1</v>
      </c>
      <c r="AO10" s="44">
        <f t="shared" si="22"/>
        <v>8</v>
      </c>
    </row>
    <row r="11" spans="1:41" ht="15.75" customHeight="1" x14ac:dyDescent="0.25">
      <c r="A11" s="40">
        <v>10</v>
      </c>
      <c r="B11" s="41">
        <v>43455.729538576386</v>
      </c>
      <c r="C11" s="42" t="s">
        <v>66</v>
      </c>
      <c r="D11" s="42" t="s">
        <v>67</v>
      </c>
      <c r="E11" s="43">
        <v>288949</v>
      </c>
      <c r="F11" s="19">
        <f t="shared" si="2"/>
        <v>2</v>
      </c>
      <c r="G11" s="19">
        <f t="shared" si="3"/>
        <v>8</v>
      </c>
      <c r="H11" s="19">
        <f t="shared" si="4"/>
        <v>8</v>
      </c>
      <c r="I11" s="19">
        <f t="shared" si="5"/>
        <v>9</v>
      </c>
      <c r="J11" s="19">
        <f t="shared" si="6"/>
        <v>4</v>
      </c>
      <c r="K11" s="19">
        <f t="shared" si="7"/>
        <v>9</v>
      </c>
      <c r="L11" s="20">
        <v>2</v>
      </c>
      <c r="M11" s="42" t="s">
        <v>68</v>
      </c>
      <c r="N11" s="23">
        <f t="shared" si="8"/>
        <v>85.097472377132291</v>
      </c>
      <c r="O11" s="22" t="s">
        <v>122</v>
      </c>
      <c r="P11" s="20">
        <f t="shared" si="9"/>
        <v>-1</v>
      </c>
      <c r="Q11" s="45"/>
      <c r="R11" s="23">
        <f t="shared" si="10"/>
        <v>1.4806246385193751</v>
      </c>
      <c r="S11" s="22" t="s">
        <v>124</v>
      </c>
      <c r="T11" s="20">
        <f t="shared" si="11"/>
        <v>0</v>
      </c>
      <c r="U11" s="42">
        <v>0.51193</v>
      </c>
      <c r="V11" s="42">
        <f t="shared" si="12"/>
        <v>5.6234132519034921</v>
      </c>
      <c r="W11" s="21">
        <f t="shared" si="13"/>
        <v>0.51273892206238414</v>
      </c>
      <c r="X11" s="20">
        <f t="shared" si="14"/>
        <v>1</v>
      </c>
      <c r="Y11" s="45"/>
      <c r="Z11" s="42">
        <f t="shared" si="15"/>
        <v>0.56234132519034907</v>
      </c>
      <c r="AA11" s="21">
        <f t="shared" si="16"/>
        <v>0.71987000039422977</v>
      </c>
      <c r="AB11" s="20">
        <f t="shared" si="17"/>
        <v>0</v>
      </c>
      <c r="AC11" s="42" t="s">
        <v>69</v>
      </c>
      <c r="AD11" s="23">
        <f t="shared" si="18"/>
        <v>87.976270912904411</v>
      </c>
      <c r="AE11" s="22" t="s">
        <v>122</v>
      </c>
      <c r="AF11" s="20">
        <f t="shared" si="19"/>
        <v>1</v>
      </c>
      <c r="AG11" s="42" t="s">
        <v>70</v>
      </c>
      <c r="AH11" s="23">
        <f t="shared" si="20"/>
        <v>69.04286656129932</v>
      </c>
      <c r="AI11" s="22" t="s">
        <v>122</v>
      </c>
      <c r="AJ11" s="20">
        <f t="shared" si="21"/>
        <v>1</v>
      </c>
      <c r="AK11" s="42" t="s">
        <v>18</v>
      </c>
      <c r="AL11" s="20">
        <v>1</v>
      </c>
      <c r="AM11" s="42" t="s">
        <v>19</v>
      </c>
      <c r="AN11" s="20">
        <v>1</v>
      </c>
      <c r="AO11" s="44">
        <f t="shared" si="22"/>
        <v>6</v>
      </c>
    </row>
    <row r="12" spans="1:41" ht="15.75" customHeight="1" x14ac:dyDescent="0.25">
      <c r="A12" s="40">
        <v>11</v>
      </c>
      <c r="B12" s="41">
        <v>43455.729538715277</v>
      </c>
      <c r="C12" s="42" t="s">
        <v>71</v>
      </c>
      <c r="D12" s="42" t="s">
        <v>72</v>
      </c>
      <c r="E12" s="43">
        <v>298849</v>
      </c>
      <c r="F12" s="19">
        <f t="shared" si="2"/>
        <v>2</v>
      </c>
      <c r="G12" s="19">
        <f t="shared" si="3"/>
        <v>9</v>
      </c>
      <c r="H12" s="19">
        <f t="shared" si="4"/>
        <v>8</v>
      </c>
      <c r="I12" s="19">
        <f t="shared" si="5"/>
        <v>8</v>
      </c>
      <c r="J12" s="19">
        <f t="shared" si="6"/>
        <v>4</v>
      </c>
      <c r="K12" s="19">
        <f t="shared" si="7"/>
        <v>9</v>
      </c>
      <c r="L12" s="20">
        <v>2</v>
      </c>
      <c r="M12" s="42" t="s">
        <v>73</v>
      </c>
      <c r="N12" s="23">
        <f t="shared" si="8"/>
        <v>84.881360887005513</v>
      </c>
      <c r="O12" s="22" t="s">
        <v>122</v>
      </c>
      <c r="P12" s="20">
        <f t="shared" si="9"/>
        <v>1</v>
      </c>
      <c r="Q12" s="42" t="s">
        <v>74</v>
      </c>
      <c r="R12" s="23">
        <f t="shared" si="10"/>
        <v>1.5726495726495728</v>
      </c>
      <c r="S12" s="22" t="s">
        <v>124</v>
      </c>
      <c r="T12" s="20">
        <f t="shared" si="11"/>
        <v>1</v>
      </c>
      <c r="U12" s="42">
        <v>0.51229999999999998</v>
      </c>
      <c r="V12" s="42">
        <f t="shared" si="12"/>
        <v>5.6234132519034921</v>
      </c>
      <c r="W12" s="21">
        <f t="shared" si="13"/>
        <v>0.51273892206238414</v>
      </c>
      <c r="X12" s="20">
        <f t="shared" si="14"/>
        <v>1</v>
      </c>
      <c r="Y12" s="45"/>
      <c r="Z12" s="42">
        <f t="shared" si="15"/>
        <v>0.56234132519034907</v>
      </c>
      <c r="AA12" s="21">
        <f t="shared" si="16"/>
        <v>0.71987000039422977</v>
      </c>
      <c r="AB12" s="20">
        <f t="shared" si="17"/>
        <v>0</v>
      </c>
      <c r="AC12" s="42" t="s">
        <v>75</v>
      </c>
      <c r="AD12" s="23">
        <f t="shared" si="18"/>
        <v>87.976270912904411</v>
      </c>
      <c r="AE12" s="22" t="s">
        <v>122</v>
      </c>
      <c r="AF12" s="20">
        <f t="shared" si="19"/>
        <v>1</v>
      </c>
      <c r="AG12" s="42" t="s">
        <v>76</v>
      </c>
      <c r="AH12" s="23">
        <f t="shared" si="20"/>
        <v>68.864342169451035</v>
      </c>
      <c r="AI12" s="22" t="s">
        <v>122</v>
      </c>
      <c r="AJ12" s="20">
        <f t="shared" si="21"/>
        <v>-1</v>
      </c>
      <c r="AK12" s="42" t="s">
        <v>18</v>
      </c>
      <c r="AL12" s="20">
        <v>1</v>
      </c>
      <c r="AM12" s="42" t="s">
        <v>19</v>
      </c>
      <c r="AN12" s="20">
        <v>1</v>
      </c>
      <c r="AO12" s="44">
        <f t="shared" si="22"/>
        <v>7</v>
      </c>
    </row>
    <row r="13" spans="1:41" ht="15.75" customHeight="1" x14ac:dyDescent="0.25">
      <c r="A13" s="40">
        <v>12</v>
      </c>
      <c r="B13" s="41">
        <v>43455.729574895835</v>
      </c>
      <c r="C13" s="42" t="s">
        <v>77</v>
      </c>
      <c r="D13" s="42" t="s">
        <v>78</v>
      </c>
      <c r="E13" s="43">
        <v>293072</v>
      </c>
      <c r="F13" s="19">
        <f t="shared" si="2"/>
        <v>2</v>
      </c>
      <c r="G13" s="19">
        <f t="shared" si="3"/>
        <v>9</v>
      </c>
      <c r="H13" s="19">
        <f t="shared" si="4"/>
        <v>3</v>
      </c>
      <c r="I13" s="19">
        <f t="shared" si="5"/>
        <v>0</v>
      </c>
      <c r="J13" s="19">
        <f t="shared" si="6"/>
        <v>7</v>
      </c>
      <c r="K13" s="19">
        <f t="shared" si="7"/>
        <v>2</v>
      </c>
      <c r="L13" s="20">
        <v>2</v>
      </c>
      <c r="M13" s="42" t="s">
        <v>79</v>
      </c>
      <c r="N13" s="23">
        <f t="shared" si="8"/>
        <v>81.189369104224966</v>
      </c>
      <c r="O13" s="22" t="s">
        <v>122</v>
      </c>
      <c r="P13" s="20">
        <f t="shared" si="9"/>
        <v>1</v>
      </c>
      <c r="Q13" s="42" t="s">
        <v>80</v>
      </c>
      <c r="R13" s="23">
        <f t="shared" si="10"/>
        <v>1.9411764705882355</v>
      </c>
      <c r="S13" s="22" t="s">
        <v>124</v>
      </c>
      <c r="T13" s="20">
        <f t="shared" si="11"/>
        <v>1</v>
      </c>
      <c r="U13" s="42">
        <v>0.92</v>
      </c>
      <c r="V13" s="42">
        <f t="shared" si="12"/>
        <v>1.778279410038923</v>
      </c>
      <c r="W13" s="21">
        <f t="shared" si="13"/>
        <v>0.92152718332087125</v>
      </c>
      <c r="X13" s="20">
        <f t="shared" si="14"/>
        <v>1</v>
      </c>
      <c r="Y13" s="42">
        <v>0.3</v>
      </c>
      <c r="Z13" s="42">
        <f t="shared" si="15"/>
        <v>0.17782794100389224</v>
      </c>
      <c r="AA13" s="21">
        <f t="shared" si="16"/>
        <v>0.30195911442264656</v>
      </c>
      <c r="AB13" s="20">
        <f t="shared" si="17"/>
        <v>1</v>
      </c>
      <c r="AC13" s="42" t="s">
        <v>30</v>
      </c>
      <c r="AD13" s="23">
        <f t="shared" si="18"/>
        <v>90.57332496431269</v>
      </c>
      <c r="AE13" s="22" t="s">
        <v>122</v>
      </c>
      <c r="AF13" s="20">
        <f t="shared" si="19"/>
        <v>1</v>
      </c>
      <c r="AG13" s="42" t="s">
        <v>81</v>
      </c>
      <c r="AH13" s="23">
        <f t="shared" si="20"/>
        <v>64.096911357585483</v>
      </c>
      <c r="AI13" s="22" t="s">
        <v>122</v>
      </c>
      <c r="AJ13" s="20">
        <f t="shared" si="21"/>
        <v>1</v>
      </c>
      <c r="AK13" s="42" t="s">
        <v>18</v>
      </c>
      <c r="AL13" s="20">
        <v>1</v>
      </c>
      <c r="AM13" s="42" t="s">
        <v>19</v>
      </c>
      <c r="AN13" s="20">
        <v>1</v>
      </c>
      <c r="AO13" s="44">
        <f t="shared" si="22"/>
        <v>10</v>
      </c>
    </row>
    <row r="14" spans="1:41" ht="15.75" customHeight="1" x14ac:dyDescent="0.25">
      <c r="A14" s="40">
        <v>13</v>
      </c>
      <c r="B14" s="41">
        <v>43455.731007118055</v>
      </c>
      <c r="C14" s="42" t="s">
        <v>82</v>
      </c>
      <c r="D14" s="42" t="s">
        <v>83</v>
      </c>
      <c r="E14" s="43">
        <v>289723</v>
      </c>
      <c r="F14" s="19">
        <f t="shared" si="2"/>
        <v>2</v>
      </c>
      <c r="G14" s="19">
        <f t="shared" si="3"/>
        <v>8</v>
      </c>
      <c r="H14" s="19">
        <f t="shared" si="4"/>
        <v>9</v>
      </c>
      <c r="I14" s="19">
        <f t="shared" si="5"/>
        <v>7</v>
      </c>
      <c r="J14" s="19">
        <f t="shared" si="6"/>
        <v>2</v>
      </c>
      <c r="K14" s="19">
        <f t="shared" si="7"/>
        <v>3</v>
      </c>
      <c r="L14" s="20">
        <v>2</v>
      </c>
      <c r="M14" s="46" t="s">
        <v>84</v>
      </c>
      <c r="N14" s="23">
        <f t="shared" si="8"/>
        <v>79.734481041697862</v>
      </c>
      <c r="O14" s="22" t="s">
        <v>122</v>
      </c>
      <c r="P14" s="20">
        <v>1</v>
      </c>
      <c r="Q14" s="45"/>
      <c r="R14" s="23">
        <f t="shared" si="10"/>
        <v>1.6732026143790852</v>
      </c>
      <c r="S14" s="22" t="s">
        <v>124</v>
      </c>
      <c r="T14" s="20">
        <f t="shared" si="11"/>
        <v>0</v>
      </c>
      <c r="U14" s="42">
        <v>0.68600000000000005</v>
      </c>
      <c r="V14" s="42">
        <f t="shared" si="12"/>
        <v>3.5481338923357555</v>
      </c>
      <c r="W14" s="21">
        <f t="shared" si="13"/>
        <v>0.68610961986654484</v>
      </c>
      <c r="X14" s="20">
        <f t="shared" si="14"/>
        <v>1</v>
      </c>
      <c r="Y14" s="45"/>
      <c r="Z14" s="42">
        <f t="shared" si="15"/>
        <v>0.35481338923357542</v>
      </c>
      <c r="AA14" s="21">
        <f t="shared" si="16"/>
        <v>0.52378193491916269</v>
      </c>
      <c r="AB14" s="20">
        <f t="shared" si="17"/>
        <v>0</v>
      </c>
      <c r="AC14" s="46" t="s">
        <v>85</v>
      </c>
      <c r="AD14" s="23">
        <f t="shared" si="18"/>
        <v>85.633228601204564</v>
      </c>
      <c r="AE14" s="22" t="s">
        <v>122</v>
      </c>
      <c r="AF14" s="20">
        <v>1</v>
      </c>
      <c r="AG14" s="46" t="s">
        <v>86</v>
      </c>
      <c r="AH14" s="23">
        <f t="shared" si="20"/>
        <v>65.860782601538432</v>
      </c>
      <c r="AI14" s="22" t="s">
        <v>122</v>
      </c>
      <c r="AJ14" s="20">
        <v>1</v>
      </c>
      <c r="AK14" s="42" t="s">
        <v>18</v>
      </c>
      <c r="AL14" s="20">
        <v>1</v>
      </c>
      <c r="AM14" s="42" t="s">
        <v>19</v>
      </c>
      <c r="AN14" s="20">
        <v>1</v>
      </c>
      <c r="AO14" s="44">
        <f t="shared" si="22"/>
        <v>8</v>
      </c>
    </row>
    <row r="15" spans="1:41" ht="15.75" customHeight="1" x14ac:dyDescent="0.25">
      <c r="A15" s="40">
        <v>14</v>
      </c>
      <c r="B15" s="41">
        <v>43455.73169212963</v>
      </c>
      <c r="C15" s="42" t="s">
        <v>87</v>
      </c>
      <c r="D15" s="42" t="s">
        <v>88</v>
      </c>
      <c r="E15" s="43">
        <v>288767</v>
      </c>
      <c r="F15" s="19">
        <f t="shared" si="2"/>
        <v>2</v>
      </c>
      <c r="G15" s="19">
        <f t="shared" si="3"/>
        <v>8</v>
      </c>
      <c r="H15" s="19">
        <f t="shared" si="4"/>
        <v>8</v>
      </c>
      <c r="I15" s="19">
        <f t="shared" si="5"/>
        <v>7</v>
      </c>
      <c r="J15" s="19">
        <f t="shared" si="6"/>
        <v>6</v>
      </c>
      <c r="K15" s="19">
        <f t="shared" si="7"/>
        <v>7</v>
      </c>
      <c r="L15" s="20">
        <v>2</v>
      </c>
      <c r="M15" s="42" t="s">
        <v>89</v>
      </c>
      <c r="N15" s="23">
        <f t="shared" si="8"/>
        <v>83.720764202362844</v>
      </c>
      <c r="O15" s="22" t="s">
        <v>122</v>
      </c>
      <c r="P15" s="20">
        <f t="shared" si="9"/>
        <v>1</v>
      </c>
      <c r="Q15" s="42" t="s">
        <v>90</v>
      </c>
      <c r="R15" s="23">
        <f t="shared" si="10"/>
        <v>1.3990461049284582</v>
      </c>
      <c r="S15" s="22" t="s">
        <v>124</v>
      </c>
      <c r="T15" s="20">
        <f t="shared" si="11"/>
        <v>1</v>
      </c>
      <c r="U15" s="42">
        <v>0.69</v>
      </c>
      <c r="V15" s="42">
        <f t="shared" si="12"/>
        <v>3.5481338923357555</v>
      </c>
      <c r="W15" s="21">
        <f t="shared" si="13"/>
        <v>0.68610961986654484</v>
      </c>
      <c r="X15" s="20">
        <f t="shared" si="14"/>
        <v>1</v>
      </c>
      <c r="Y15" s="42">
        <v>0.51</v>
      </c>
      <c r="Z15" s="42">
        <f t="shared" si="15"/>
        <v>0.35481338923357542</v>
      </c>
      <c r="AA15" s="21">
        <f t="shared" si="16"/>
        <v>0.52378193491916269</v>
      </c>
      <c r="AB15" s="20">
        <f t="shared" si="17"/>
        <v>1</v>
      </c>
      <c r="AC15" s="42" t="s">
        <v>91</v>
      </c>
      <c r="AD15" s="23">
        <f t="shared" si="18"/>
        <v>89.864907251724816</v>
      </c>
      <c r="AE15" s="22" t="s">
        <v>122</v>
      </c>
      <c r="AF15" s="20">
        <f t="shared" si="19"/>
        <v>1</v>
      </c>
      <c r="AG15" s="42" t="s">
        <v>92</v>
      </c>
      <c r="AH15" s="23">
        <f t="shared" si="20"/>
        <v>67.641170213003704</v>
      </c>
      <c r="AI15" s="22" t="s">
        <v>122</v>
      </c>
      <c r="AJ15" s="20">
        <f t="shared" si="21"/>
        <v>1</v>
      </c>
      <c r="AK15" s="42" t="s">
        <v>18</v>
      </c>
      <c r="AL15" s="20">
        <v>1</v>
      </c>
      <c r="AM15" s="42" t="s">
        <v>19</v>
      </c>
      <c r="AN15" s="20">
        <v>1</v>
      </c>
      <c r="AO15" s="44">
        <f t="shared" si="22"/>
        <v>10</v>
      </c>
    </row>
    <row r="16" spans="1:41" ht="15.75" customHeight="1" x14ac:dyDescent="0.25">
      <c r="A16" s="40">
        <v>15</v>
      </c>
      <c r="B16" s="41">
        <v>43455.731884537032</v>
      </c>
      <c r="C16" s="42" t="s">
        <v>93</v>
      </c>
      <c r="D16" s="42" t="s">
        <v>94</v>
      </c>
      <c r="E16" s="43">
        <v>239515</v>
      </c>
      <c r="F16" s="19">
        <f t="shared" si="2"/>
        <v>2</v>
      </c>
      <c r="G16" s="19">
        <f t="shared" si="3"/>
        <v>3</v>
      </c>
      <c r="H16" s="19">
        <f t="shared" si="4"/>
        <v>9</v>
      </c>
      <c r="I16" s="19">
        <f t="shared" si="5"/>
        <v>5</v>
      </c>
      <c r="J16" s="19">
        <f t="shared" si="6"/>
        <v>1</v>
      </c>
      <c r="K16" s="19">
        <f t="shared" si="7"/>
        <v>5</v>
      </c>
      <c r="L16" s="20">
        <v>2</v>
      </c>
      <c r="M16" s="42" t="s">
        <v>95</v>
      </c>
      <c r="N16" s="23">
        <f t="shared" si="8"/>
        <v>80.33118802473966</v>
      </c>
      <c r="O16" s="22" t="s">
        <v>122</v>
      </c>
      <c r="P16" s="20">
        <f t="shared" si="9"/>
        <v>1</v>
      </c>
      <c r="Q16" s="45"/>
      <c r="R16" s="23">
        <f t="shared" si="10"/>
        <v>2.2164502164502164</v>
      </c>
      <c r="S16" s="22" t="s">
        <v>124</v>
      </c>
      <c r="T16" s="20">
        <f t="shared" si="11"/>
        <v>0</v>
      </c>
      <c r="U16" s="42">
        <v>0.99</v>
      </c>
      <c r="V16" s="42">
        <f t="shared" si="12"/>
        <v>5.0118723362727229</v>
      </c>
      <c r="W16" s="21">
        <f t="shared" si="13"/>
        <v>0.55467742663364483</v>
      </c>
      <c r="X16" s="20">
        <f t="shared" si="14"/>
        <v>-1</v>
      </c>
      <c r="Y16" s="45"/>
      <c r="Z16" s="42">
        <f t="shared" si="15"/>
        <v>0.50118723362727224</v>
      </c>
      <c r="AA16" s="21">
        <f t="shared" si="16"/>
        <v>0.66772115083375583</v>
      </c>
      <c r="AB16" s="20">
        <f t="shared" si="17"/>
        <v>0</v>
      </c>
      <c r="AC16" s="42" t="s">
        <v>96</v>
      </c>
      <c r="AD16" s="23">
        <f t="shared" si="18"/>
        <v>84.750612633917001</v>
      </c>
      <c r="AE16" s="22" t="s">
        <v>122</v>
      </c>
      <c r="AF16" s="20">
        <f t="shared" si="19"/>
        <v>1</v>
      </c>
      <c r="AG16" s="42" t="s">
        <v>97</v>
      </c>
      <c r="AH16" s="23">
        <f t="shared" si="20"/>
        <v>66.03665092052124</v>
      </c>
      <c r="AI16" s="22" t="s">
        <v>122</v>
      </c>
      <c r="AJ16" s="20">
        <f t="shared" si="21"/>
        <v>1</v>
      </c>
      <c r="AK16" s="42" t="s">
        <v>18</v>
      </c>
      <c r="AL16" s="20">
        <v>1</v>
      </c>
      <c r="AM16" s="42" t="s">
        <v>19</v>
      </c>
      <c r="AN16" s="20">
        <v>1</v>
      </c>
      <c r="AO16" s="44">
        <f t="shared" si="22"/>
        <v>6</v>
      </c>
    </row>
    <row r="17" spans="1:41" ht="15.75" customHeight="1" thickBot="1" x14ac:dyDescent="0.3">
      <c r="A17" s="47">
        <v>16</v>
      </c>
      <c r="B17" s="57" t="s">
        <v>144</v>
      </c>
      <c r="C17" s="48" t="s">
        <v>145</v>
      </c>
      <c r="D17" s="48" t="s">
        <v>146</v>
      </c>
      <c r="E17" s="49">
        <v>288985</v>
      </c>
      <c r="F17" s="49">
        <f>INT(E17/100000)</f>
        <v>2</v>
      </c>
      <c r="G17" s="49">
        <f t="shared" si="3"/>
        <v>8</v>
      </c>
      <c r="H17" s="49">
        <f t="shared" si="4"/>
        <v>8</v>
      </c>
      <c r="I17" s="49">
        <f>INT(($E17-100000*$F17-10000*$G17-1000*$H17)/100)</f>
        <v>9</v>
      </c>
      <c r="J17" s="49">
        <f>INT(($E17-100000*$F17-10000*$G17-1000*$H17-100*$I17)/10)</f>
        <v>8</v>
      </c>
      <c r="K17" s="49">
        <f>INT(($E17-100000*$F17-10000*$G17-1000*$H17-100*$I17-10*$J17))</f>
        <v>5</v>
      </c>
      <c r="L17" s="50">
        <v>0</v>
      </c>
      <c r="M17" s="56" t="s">
        <v>147</v>
      </c>
      <c r="N17" s="51">
        <f t="shared" si="8"/>
        <v>83.722394862231738</v>
      </c>
      <c r="O17" s="52" t="s">
        <v>122</v>
      </c>
      <c r="P17" s="50">
        <f t="shared" si="9"/>
        <v>-1</v>
      </c>
      <c r="Q17" s="48"/>
      <c r="R17" s="51">
        <f t="shared" si="10"/>
        <v>1.0265664160401002</v>
      </c>
      <c r="S17" s="52" t="s">
        <v>124</v>
      </c>
      <c r="T17" s="50">
        <f t="shared" si="11"/>
        <v>0</v>
      </c>
      <c r="U17" s="48"/>
      <c r="V17" s="53">
        <f t="shared" si="12"/>
        <v>2.2387211385683394</v>
      </c>
      <c r="W17" s="54">
        <f t="shared" si="13"/>
        <v>0.85371493603839022</v>
      </c>
      <c r="X17" s="50">
        <f t="shared" si="14"/>
        <v>0</v>
      </c>
      <c r="Y17" s="48"/>
      <c r="Z17" s="53">
        <f t="shared" si="15"/>
        <v>0.22387211385683392</v>
      </c>
      <c r="AA17" s="54">
        <f t="shared" si="16"/>
        <v>0.36584233160005142</v>
      </c>
      <c r="AB17" s="50">
        <f t="shared" si="17"/>
        <v>0</v>
      </c>
      <c r="AC17" s="56" t="s">
        <v>148</v>
      </c>
      <c r="AD17" s="51">
        <f t="shared" si="18"/>
        <v>91.750612633917001</v>
      </c>
      <c r="AE17" s="52" t="s">
        <v>122</v>
      </c>
      <c r="AF17" s="50">
        <f t="shared" si="19"/>
        <v>1</v>
      </c>
      <c r="AG17" s="56" t="s">
        <v>149</v>
      </c>
      <c r="AH17" s="51">
        <f t="shared" si="20"/>
        <v>67.3857751992538</v>
      </c>
      <c r="AI17" s="52" t="s">
        <v>122</v>
      </c>
      <c r="AJ17" s="50">
        <f t="shared" si="21"/>
        <v>1</v>
      </c>
      <c r="AK17" s="56" t="s">
        <v>18</v>
      </c>
      <c r="AL17" s="50">
        <v>1</v>
      </c>
      <c r="AM17" s="56" t="s">
        <v>19</v>
      </c>
      <c r="AN17" s="50">
        <v>1</v>
      </c>
      <c r="AO17" s="55">
        <f t="shared" si="22"/>
        <v>3</v>
      </c>
    </row>
    <row r="18" spans="1:41" ht="15.75" customHeight="1" x14ac:dyDescent="0.25">
      <c r="AO18" s="33"/>
    </row>
    <row r="19" spans="1:41" ht="15.75" customHeight="1" x14ac:dyDescent="0.25">
      <c r="A19" s="24" t="s">
        <v>136</v>
      </c>
      <c r="E19" s="25"/>
      <c r="F19" s="25"/>
      <c r="G19" s="25"/>
      <c r="H19" s="25"/>
      <c r="I19" s="25"/>
    </row>
    <row r="20" spans="1:41" ht="15.75" customHeight="1" x14ac:dyDescent="0.25">
      <c r="A20" s="26" t="s">
        <v>137</v>
      </c>
      <c r="B20" s="27"/>
      <c r="C20" s="27"/>
      <c r="D20" s="28" t="s">
        <v>138</v>
      </c>
      <c r="E20" s="25"/>
      <c r="F20" s="25"/>
      <c r="G20" s="25"/>
      <c r="H20" s="25"/>
      <c r="I20" s="25"/>
    </row>
    <row r="21" spans="1:41" ht="15.75" customHeight="1" x14ac:dyDescent="0.25">
      <c r="A21" s="29" t="s">
        <v>139</v>
      </c>
      <c r="B21" s="30"/>
      <c r="C21" s="30"/>
      <c r="E21" s="25"/>
      <c r="F21" s="25"/>
      <c r="G21" s="25"/>
      <c r="H21" s="25"/>
      <c r="I21" s="25"/>
    </row>
    <row r="22" spans="1:41" ht="15.75" customHeight="1" x14ac:dyDescent="0.25">
      <c r="A22" s="31" t="s">
        <v>140</v>
      </c>
      <c r="B22" s="32"/>
      <c r="C22" s="32"/>
      <c r="E22" s="25"/>
      <c r="F22" s="25"/>
      <c r="G22" s="25"/>
      <c r="H22" s="25"/>
      <c r="I22" s="25"/>
    </row>
  </sheetData>
  <conditionalFormatting sqref="L2:L17">
    <cfRule type="cellIs" dxfId="38" priority="38" operator="lessThan">
      <formula>0</formula>
    </cfRule>
  </conditionalFormatting>
  <conditionalFormatting sqref="L2:L17">
    <cfRule type="containsText" dxfId="37" priority="39" operator="containsText" text=",">
      <formula>NOT(ISERROR(SEARCH(",",L2)))</formula>
    </cfRule>
  </conditionalFormatting>
  <conditionalFormatting sqref="L2:L17">
    <cfRule type="cellIs" dxfId="36" priority="37" operator="equal">
      <formula>0</formula>
    </cfRule>
  </conditionalFormatting>
  <conditionalFormatting sqref="P2">
    <cfRule type="cellIs" dxfId="35" priority="35" operator="lessThan">
      <formula>0</formula>
    </cfRule>
  </conditionalFormatting>
  <conditionalFormatting sqref="P2">
    <cfRule type="containsText" dxfId="34" priority="36" operator="containsText" text=",">
      <formula>NOT(ISERROR(SEARCH(",",P2)))</formula>
    </cfRule>
  </conditionalFormatting>
  <conditionalFormatting sqref="P2">
    <cfRule type="cellIs" dxfId="33" priority="34" operator="equal">
      <formula>0</formula>
    </cfRule>
  </conditionalFormatting>
  <conditionalFormatting sqref="P3:P17">
    <cfRule type="cellIs" dxfId="32" priority="32" operator="lessThan">
      <formula>0</formula>
    </cfRule>
  </conditionalFormatting>
  <conditionalFormatting sqref="P3:P17">
    <cfRule type="containsText" dxfId="31" priority="33" operator="containsText" text=",">
      <formula>NOT(ISERROR(SEARCH(",",P3)))</formula>
    </cfRule>
  </conditionalFormatting>
  <conditionalFormatting sqref="P3:P17">
    <cfRule type="cellIs" dxfId="30" priority="31" operator="equal">
      <formula>0</formula>
    </cfRule>
  </conditionalFormatting>
  <conditionalFormatting sqref="T2">
    <cfRule type="cellIs" dxfId="29" priority="29" operator="lessThan">
      <formula>0</formula>
    </cfRule>
  </conditionalFormatting>
  <conditionalFormatting sqref="T2">
    <cfRule type="containsText" dxfId="28" priority="30" operator="containsText" text=",">
      <formula>NOT(ISERROR(SEARCH(",",T2)))</formula>
    </cfRule>
  </conditionalFormatting>
  <conditionalFormatting sqref="T2">
    <cfRule type="cellIs" dxfId="27" priority="28" operator="equal">
      <formula>0</formula>
    </cfRule>
  </conditionalFormatting>
  <conditionalFormatting sqref="T3:T17">
    <cfRule type="cellIs" dxfId="26" priority="26" operator="lessThan">
      <formula>0</formula>
    </cfRule>
  </conditionalFormatting>
  <conditionalFormatting sqref="T3:T17">
    <cfRule type="containsText" dxfId="25" priority="27" operator="containsText" text=",">
      <formula>NOT(ISERROR(SEARCH(",",T3)))</formula>
    </cfRule>
  </conditionalFormatting>
  <conditionalFormatting sqref="T3:T17">
    <cfRule type="cellIs" dxfId="24" priority="25" operator="equal">
      <formula>0</formula>
    </cfRule>
  </conditionalFormatting>
  <conditionalFormatting sqref="X2:X17">
    <cfRule type="cellIs" dxfId="23" priority="23" operator="lessThan">
      <formula>0</formula>
    </cfRule>
  </conditionalFormatting>
  <conditionalFormatting sqref="X2:X17">
    <cfRule type="containsText" dxfId="22" priority="24" operator="containsText" text=",">
      <formula>NOT(ISERROR(SEARCH(",",X2)))</formula>
    </cfRule>
  </conditionalFormatting>
  <conditionalFormatting sqref="X2:X17">
    <cfRule type="cellIs" dxfId="21" priority="22" operator="equal">
      <formula>0</formula>
    </cfRule>
  </conditionalFormatting>
  <conditionalFormatting sqref="AB2:AB17">
    <cfRule type="cellIs" dxfId="20" priority="20" operator="lessThan">
      <formula>0</formula>
    </cfRule>
  </conditionalFormatting>
  <conditionalFormatting sqref="AB2:AB17">
    <cfRule type="containsText" dxfId="19" priority="21" operator="containsText" text=",">
      <formula>NOT(ISERROR(SEARCH(",",AB2)))</formula>
    </cfRule>
  </conditionalFormatting>
  <conditionalFormatting sqref="AB2:AB17">
    <cfRule type="cellIs" dxfId="18" priority="19" operator="equal">
      <formula>0</formula>
    </cfRule>
  </conditionalFormatting>
  <conditionalFormatting sqref="AF2:AF17">
    <cfRule type="cellIs" dxfId="17" priority="14" operator="lessThan">
      <formula>0</formula>
    </cfRule>
  </conditionalFormatting>
  <conditionalFormatting sqref="AF2:AF17">
    <cfRule type="containsText" dxfId="16" priority="15" operator="containsText" text=",">
      <formula>NOT(ISERROR(SEARCH(",",AF2)))</formula>
    </cfRule>
  </conditionalFormatting>
  <conditionalFormatting sqref="AF2:AF17">
    <cfRule type="cellIs" dxfId="15" priority="13" operator="equal">
      <formula>0</formula>
    </cfRule>
  </conditionalFormatting>
  <conditionalFormatting sqref="AN2:AN17">
    <cfRule type="cellIs" dxfId="14" priority="5" operator="lessThan">
      <formula>0</formula>
    </cfRule>
  </conditionalFormatting>
  <conditionalFormatting sqref="AN2:AN17">
    <cfRule type="containsText" dxfId="13" priority="6" operator="containsText" text=",">
      <formula>NOT(ISERROR(SEARCH(",",AN2)))</formula>
    </cfRule>
  </conditionalFormatting>
  <conditionalFormatting sqref="AN2:AN17">
    <cfRule type="cellIs" dxfId="12" priority="4" operator="equal">
      <formula>0</formula>
    </cfRule>
  </conditionalFormatting>
  <conditionalFormatting sqref="AL2">
    <cfRule type="cellIs" dxfId="11" priority="11" operator="lessThan">
      <formula>0</formula>
    </cfRule>
  </conditionalFormatting>
  <conditionalFormatting sqref="AL2">
    <cfRule type="containsText" dxfId="10" priority="12" operator="containsText" text=",">
      <formula>NOT(ISERROR(SEARCH(",",AL2)))</formula>
    </cfRule>
  </conditionalFormatting>
  <conditionalFormatting sqref="AL2">
    <cfRule type="cellIs" dxfId="9" priority="10" operator="equal">
      <formula>0</formula>
    </cfRule>
  </conditionalFormatting>
  <conditionalFormatting sqref="AL3:AL17">
    <cfRule type="cellIs" dxfId="8" priority="8" operator="lessThan">
      <formula>0</formula>
    </cfRule>
  </conditionalFormatting>
  <conditionalFormatting sqref="AL3:AL17">
    <cfRule type="containsText" dxfId="7" priority="9" operator="containsText" text=",">
      <formula>NOT(ISERROR(SEARCH(",",AL3)))</formula>
    </cfRule>
  </conditionalFormatting>
  <conditionalFormatting sqref="AL3:AL17">
    <cfRule type="cellIs" dxfId="6" priority="7" operator="equal">
      <formula>0</formula>
    </cfRule>
  </conditionalFormatting>
  <conditionalFormatting sqref="AJ2:AJ17">
    <cfRule type="cellIs" dxfId="2" priority="2" operator="lessThan">
      <formula>0</formula>
    </cfRule>
  </conditionalFormatting>
  <conditionalFormatting sqref="AJ2:AJ17">
    <cfRule type="containsText" dxfId="1" priority="3" operator="containsText" text=",">
      <formula>NOT(ISERROR(SEARCH(",",AJ2)))</formula>
    </cfRule>
  </conditionalFormatting>
  <conditionalFormatting sqref="AJ2:AJ17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6"/>
  <sheetViews>
    <sheetView workbookViewId="0">
      <selection activeCell="R21" sqref="R21"/>
    </sheetView>
  </sheetViews>
  <sheetFormatPr defaultRowHeight="13.2" x14ac:dyDescent="0.25"/>
  <sheetData>
    <row r="1" spans="1:19" ht="18" x14ac:dyDescent="0.35">
      <c r="A1" s="2" t="s">
        <v>99</v>
      </c>
      <c r="H1" s="12" t="s">
        <v>116</v>
      </c>
      <c r="I1" s="12" t="s">
        <v>117</v>
      </c>
      <c r="J1" s="12" t="s">
        <v>118</v>
      </c>
      <c r="K1" s="12" t="s">
        <v>119</v>
      </c>
      <c r="L1" s="12" t="s">
        <v>120</v>
      </c>
      <c r="M1" s="12" t="s">
        <v>121</v>
      </c>
    </row>
    <row r="2" spans="1:19" ht="18" x14ac:dyDescent="0.35">
      <c r="A2" s="2"/>
      <c r="F2" s="15" t="s">
        <v>3</v>
      </c>
      <c r="G2" s="15">
        <v>123456</v>
      </c>
      <c r="H2" s="13">
        <f>INT(G2/100000)</f>
        <v>1</v>
      </c>
      <c r="I2" s="13">
        <f>INT((G2-H2*100000)/10000)</f>
        <v>2</v>
      </c>
      <c r="J2" s="13">
        <f>INT((G2-H2*100000-I2*10000)/1000)</f>
        <v>3</v>
      </c>
      <c r="K2" s="13">
        <f>INT((G2-H2*100000-I2*10000-J2*1000)/100)</f>
        <v>4</v>
      </c>
      <c r="L2" s="13">
        <f>INT((G2-H2*100000-I2*10000-J2*1000-K2*100)/10)</f>
        <v>5</v>
      </c>
      <c r="M2" s="13">
        <f>INT((G2-H2*100000-I2*10000-J2*1000-K2*100-L2*10))</f>
        <v>6</v>
      </c>
      <c r="O2" s="11"/>
      <c r="Q2" s="11"/>
      <c r="S2" s="11"/>
    </row>
    <row r="4" spans="1:19" ht="14.4" x14ac:dyDescent="0.25">
      <c r="A4" s="3" t="s">
        <v>4</v>
      </c>
    </row>
    <row r="5" spans="1:19" ht="14.4" x14ac:dyDescent="0.25">
      <c r="A5" s="4" t="s">
        <v>100</v>
      </c>
      <c r="I5" s="10" t="s">
        <v>115</v>
      </c>
      <c r="N5" s="14">
        <f>10*LOG10(((4+D/2)*10^((75+F)/10)+(1+E/5)*10^((82+E/2)/10))/8)</f>
        <v>82.171652898830558</v>
      </c>
      <c r="O5" s="15" t="s">
        <v>122</v>
      </c>
    </row>
    <row r="6" spans="1:19" ht="21" x14ac:dyDescent="0.25">
      <c r="A6" s="6"/>
    </row>
    <row r="7" spans="1:19" ht="14.4" x14ac:dyDescent="0.25">
      <c r="A7" s="3" t="s">
        <v>101</v>
      </c>
    </row>
    <row r="8" spans="1:19" ht="14.4" x14ac:dyDescent="0.25">
      <c r="A8" s="3" t="s">
        <v>102</v>
      </c>
    </row>
    <row r="9" spans="1:19" ht="13.8" x14ac:dyDescent="0.25">
      <c r="A9" s="4" t="s">
        <v>103</v>
      </c>
      <c r="I9" s="10" t="s">
        <v>123</v>
      </c>
      <c r="L9" s="16">
        <f>0.16*(300+D*20)/(10+E)*(1/(1+D/10)-1/(3+F/10))</f>
        <v>1.7693121693121694</v>
      </c>
      <c r="M9" s="15" t="s">
        <v>124</v>
      </c>
    </row>
    <row r="10" spans="1:19" ht="21" x14ac:dyDescent="0.25">
      <c r="A10" s="6"/>
    </row>
    <row r="11" spans="1:19" ht="14.4" x14ac:dyDescent="0.25">
      <c r="A11" s="3" t="s">
        <v>104</v>
      </c>
    </row>
    <row r="12" spans="1:19" ht="14.4" x14ac:dyDescent="0.25">
      <c r="A12" s="4" t="s">
        <v>105</v>
      </c>
      <c r="I12" s="10" t="s">
        <v>125</v>
      </c>
      <c r="M12" s="15">
        <f>1-((SWR-1)/(SWR+1))^2</f>
        <v>0.68610961986654484</v>
      </c>
      <c r="O12" s="10" t="s">
        <v>126</v>
      </c>
      <c r="S12">
        <f>10^(((80+F)-(70+E))/20)</f>
        <v>3.5481338923357555</v>
      </c>
    </row>
    <row r="13" spans="1:19" ht="19.8" customHeight="1" x14ac:dyDescent="0.25">
      <c r="A13" s="7" t="s">
        <v>106</v>
      </c>
    </row>
    <row r="14" spans="1:19" ht="14.4" x14ac:dyDescent="0.25">
      <c r="A14" s="3" t="s">
        <v>7</v>
      </c>
    </row>
    <row r="15" spans="1:19" ht="13.8" x14ac:dyDescent="0.25">
      <c r="A15" s="4" t="s">
        <v>107</v>
      </c>
      <c r="I15" s="10" t="s">
        <v>127</v>
      </c>
      <c r="L15" s="15">
        <f>1-((1-rE)/(1+rE))</f>
        <v>0.52378193491916269</v>
      </c>
      <c r="O15" s="10" t="s">
        <v>128</v>
      </c>
      <c r="R15">
        <f>10^((75+F/2-80-E/2)/10)</f>
        <v>0.35481338923357542</v>
      </c>
    </row>
    <row r="16" spans="1:19" ht="20.399999999999999" customHeight="1" x14ac:dyDescent="0.25">
      <c r="A16" s="4"/>
    </row>
    <row r="17" spans="1:19" ht="14.4" x14ac:dyDescent="0.25">
      <c r="A17" s="3" t="s">
        <v>8</v>
      </c>
    </row>
    <row r="18" spans="1:19" ht="13.8" x14ac:dyDescent="0.25">
      <c r="A18" s="4" t="s">
        <v>107</v>
      </c>
      <c r="I18" s="10" t="s">
        <v>129</v>
      </c>
      <c r="L18" s="14">
        <f>65+E+10*LOG10(70+F)</f>
        <v>88.808135922807907</v>
      </c>
      <c r="M18" s="15" t="s">
        <v>122</v>
      </c>
    </row>
    <row r="19" spans="1:19" ht="19.8" customHeight="1" x14ac:dyDescent="0.25">
      <c r="A19" s="5" t="s">
        <v>106</v>
      </c>
    </row>
    <row r="20" spans="1:19" ht="15.6" x14ac:dyDescent="0.25">
      <c r="A20" s="3" t="s">
        <v>108</v>
      </c>
    </row>
    <row r="21" spans="1:19" ht="15.6" x14ac:dyDescent="0.35">
      <c r="A21" s="4" t="s">
        <v>107</v>
      </c>
      <c r="I21" s="10" t="s">
        <v>130</v>
      </c>
      <c r="R21" s="14">
        <f xml:space="preserve"> 10*LOG10((14*10^((60+F)/10) + 2*10^((60+E/2+5)/10) + 8*10^((55+D/2+10)/10))/24)</f>
        <v>66.494841788599047</v>
      </c>
      <c r="S21" s="15" t="s">
        <v>122</v>
      </c>
    </row>
    <row r="22" spans="1:19" ht="14.4" x14ac:dyDescent="0.25">
      <c r="A22" s="5" t="s">
        <v>106</v>
      </c>
    </row>
    <row r="23" spans="1:19" ht="14.4" x14ac:dyDescent="0.25">
      <c r="A23" s="3" t="s">
        <v>10</v>
      </c>
      <c r="H23" s="8" t="s">
        <v>131</v>
      </c>
    </row>
    <row r="24" spans="1:19" ht="14.4" x14ac:dyDescent="0.25">
      <c r="A24" s="9" t="s">
        <v>109</v>
      </c>
    </row>
    <row r="25" spans="1:19" ht="14.4" x14ac:dyDescent="0.25">
      <c r="A25" s="9" t="s">
        <v>110</v>
      </c>
    </row>
    <row r="26" spans="1:19" ht="14.4" x14ac:dyDescent="0.25">
      <c r="A26" s="17" t="s">
        <v>111</v>
      </c>
      <c r="B26" s="18"/>
      <c r="C26" s="18"/>
      <c r="D26" s="18"/>
    </row>
    <row r="27" spans="1:19" ht="14.4" x14ac:dyDescent="0.25">
      <c r="A27" s="9" t="s">
        <v>112</v>
      </c>
    </row>
    <row r="28" spans="1:19" ht="14.4" x14ac:dyDescent="0.25">
      <c r="A28" s="9" t="s">
        <v>113</v>
      </c>
    </row>
    <row r="29" spans="1:19" ht="14.4" x14ac:dyDescent="0.25">
      <c r="A29" s="3"/>
    </row>
    <row r="30" spans="1:19" ht="14.4" x14ac:dyDescent="0.25">
      <c r="A30" s="3" t="s">
        <v>114</v>
      </c>
      <c r="H30" s="8" t="s">
        <v>131</v>
      </c>
    </row>
    <row r="31" spans="1:19" ht="14.4" x14ac:dyDescent="0.25">
      <c r="A31" s="9" t="s">
        <v>109</v>
      </c>
    </row>
    <row r="32" spans="1:19" ht="14.4" x14ac:dyDescent="0.25">
      <c r="A32" s="9" t="s">
        <v>110</v>
      </c>
    </row>
    <row r="33" spans="1:4" ht="14.4" x14ac:dyDescent="0.25">
      <c r="A33" s="9" t="s">
        <v>111</v>
      </c>
    </row>
    <row r="34" spans="1:4" ht="14.4" x14ac:dyDescent="0.25">
      <c r="A34" s="17" t="s">
        <v>112</v>
      </c>
      <c r="B34" s="18"/>
      <c r="C34" s="18"/>
      <c r="D34" s="18"/>
    </row>
    <row r="35" spans="1:4" ht="14.4" x14ac:dyDescent="0.25">
      <c r="A35" s="17" t="s">
        <v>113</v>
      </c>
      <c r="B35" s="18"/>
      <c r="C35" s="18"/>
      <c r="D35" s="18"/>
    </row>
    <row r="36" spans="1:4" ht="14.4" x14ac:dyDescent="0.25">
      <c r="A36" s="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55" r:id="rId4">
          <objectPr defaultSize="0" autoPict="0" r:id="rId5">
            <anchor moveWithCells="1">
              <from>
                <xdr:col>13</xdr:col>
                <xdr:colOff>30480</xdr:colOff>
                <xdr:row>7</xdr:row>
                <xdr:rowOff>45720</xdr:rowOff>
              </from>
              <to>
                <xdr:col>15</xdr:col>
                <xdr:colOff>114300</xdr:colOff>
                <xdr:row>9</xdr:row>
                <xdr:rowOff>167640</xdr:rowOff>
              </to>
            </anchor>
          </objectPr>
        </oleObject>
      </mc:Choice>
      <mc:Fallback>
        <oleObject progId="Equation.3" shapeId="205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Form Responses 1</vt:lpstr>
      <vt:lpstr>Solution</vt:lpstr>
      <vt:lpstr>A</vt:lpstr>
      <vt:lpstr>B</vt:lpstr>
      <vt:lpstr>CC</vt:lpstr>
      <vt:lpstr>D</vt:lpstr>
      <vt:lpstr>E</vt:lpstr>
      <vt:lpstr>F</vt:lpstr>
      <vt:lpstr>rE</vt:lpstr>
      <vt:lpstr>SWR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Farina</cp:lastModifiedBy>
  <dcterms:modified xsi:type="dcterms:W3CDTF">2018-12-30T17:02:05Z</dcterms:modified>
</cp:coreProperties>
</file>