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Farina\Corsi\Applied-Acoustics\Tests-2020\"/>
    </mc:Choice>
  </mc:AlternateContent>
  <xr:revisionPtr revIDLastSave="0" documentId="13_ncr:1_{C56EE49A-CFCB-4220-83F1-F831C6596105}" xr6:coauthVersionLast="45" xr6:coauthVersionMax="45" xr10:uidLastSave="{00000000-0000-0000-0000-000000000000}"/>
  <bookViews>
    <workbookView xWindow="840" yWindow="-98" windowWidth="22298" windowHeight="14595" xr2:uid="{00000000-000D-0000-FFFF-FFFF00000000}"/>
  </bookViews>
  <sheets>
    <sheet name="Form responses 1" sheetId="1" r:id="rId1"/>
    <sheet name="Solution" sheetId="2" r:id="rId2"/>
  </sheets>
  <definedNames>
    <definedName name="A">Solution!$B$46</definedName>
    <definedName name="A_2">Solution!$B$50</definedName>
    <definedName name="d">Solution!$H$45</definedName>
    <definedName name="decay">Solution!$B$54</definedName>
    <definedName name="f_1">Solution!$B$58</definedName>
    <definedName name="L">Solution!$B$60</definedName>
    <definedName name="S">Solution!$E$46</definedName>
    <definedName name="T">Solution!$E$45</definedName>
    <definedName name="V">Solution!$B$45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" i="1" l="1"/>
  <c r="AT4" i="1"/>
  <c r="AT5" i="1"/>
  <c r="AT6" i="1"/>
  <c r="AT7" i="1"/>
  <c r="AT2" i="1"/>
  <c r="AQ3" i="1"/>
  <c r="AS3" i="1"/>
  <c r="AQ4" i="1"/>
  <c r="AS4" i="1"/>
  <c r="AQ5" i="1"/>
  <c r="AS5" i="1"/>
  <c r="AQ6" i="1"/>
  <c r="AS6" i="1"/>
  <c r="AQ7" i="1"/>
  <c r="AS7" i="1"/>
  <c r="AQ2" i="1"/>
  <c r="AS2" i="1"/>
  <c r="AO3" i="1"/>
  <c r="AO4" i="1"/>
  <c r="AO5" i="1"/>
  <c r="AO6" i="1"/>
  <c r="AO7" i="1"/>
  <c r="AO2" i="1"/>
  <c r="AM3" i="1"/>
  <c r="AM4" i="1"/>
  <c r="AM5" i="1"/>
  <c r="AM6" i="1"/>
  <c r="AM7" i="1"/>
  <c r="AM2" i="1"/>
  <c r="AI3" i="1"/>
  <c r="AK3" i="1"/>
  <c r="AI4" i="1"/>
  <c r="AK4" i="1"/>
  <c r="AI5" i="1"/>
  <c r="AK5" i="1"/>
  <c r="AI6" i="1"/>
  <c r="AK6" i="1"/>
  <c r="AI7" i="1"/>
  <c r="AI2" i="1"/>
  <c r="AK2" i="1"/>
  <c r="AG3" i="1"/>
  <c r="AG5" i="1"/>
  <c r="AG6" i="1"/>
  <c r="AG2" i="1"/>
  <c r="AE3" i="1"/>
  <c r="AE4" i="1"/>
  <c r="AE5" i="1"/>
  <c r="AE6" i="1"/>
  <c r="AE7" i="1"/>
  <c r="AE2" i="1"/>
  <c r="X3" i="1"/>
  <c r="Y3" i="1"/>
  <c r="Z3" i="1"/>
  <c r="AA3" i="1"/>
  <c r="AB3" i="1"/>
  <c r="AC3" i="1"/>
  <c r="X4" i="1"/>
  <c r="Y4" i="1"/>
  <c r="Z4" i="1"/>
  <c r="AA4" i="1"/>
  <c r="AB4" i="1"/>
  <c r="AC4" i="1"/>
  <c r="X5" i="1"/>
  <c r="Y5" i="1"/>
  <c r="Z5" i="1"/>
  <c r="AA5" i="1"/>
  <c r="AB5" i="1"/>
  <c r="AC5" i="1"/>
  <c r="X6" i="1"/>
  <c r="Y6" i="1"/>
  <c r="Z6" i="1"/>
  <c r="AA6" i="1"/>
  <c r="AB6" i="1"/>
  <c r="AC6" i="1"/>
  <c r="X7" i="1"/>
  <c r="Y7" i="1"/>
  <c r="Z7" i="1"/>
  <c r="AA7" i="1"/>
  <c r="AB7" i="1"/>
  <c r="AC7" i="1"/>
  <c r="AC2" i="1"/>
  <c r="AB2" i="1"/>
  <c r="AA2" i="1"/>
  <c r="Z2" i="1"/>
  <c r="Y2" i="1"/>
  <c r="X2" i="1"/>
  <c r="Q3" i="1"/>
  <c r="R3" i="1"/>
  <c r="S3" i="1"/>
  <c r="T3" i="1"/>
  <c r="U3" i="1"/>
  <c r="V3" i="1"/>
  <c r="Q4" i="1"/>
  <c r="R4" i="1"/>
  <c r="S4" i="1"/>
  <c r="T4" i="1"/>
  <c r="U4" i="1"/>
  <c r="V4" i="1"/>
  <c r="Q5" i="1"/>
  <c r="R5" i="1"/>
  <c r="S5" i="1"/>
  <c r="T5" i="1"/>
  <c r="U5" i="1"/>
  <c r="V5" i="1"/>
  <c r="Q6" i="1"/>
  <c r="R6" i="1"/>
  <c r="S6" i="1"/>
  <c r="T6" i="1"/>
  <c r="U6" i="1"/>
  <c r="V6" i="1"/>
  <c r="Q7" i="1"/>
  <c r="R7" i="1"/>
  <c r="S7" i="1"/>
  <c r="T7" i="1"/>
  <c r="U7" i="1"/>
  <c r="V7" i="1"/>
  <c r="V2" i="1"/>
  <c r="U2" i="1"/>
  <c r="T2" i="1"/>
  <c r="S2" i="1"/>
  <c r="R2" i="1"/>
  <c r="Q2" i="1"/>
  <c r="O3" i="1"/>
  <c r="O4" i="1"/>
  <c r="O5" i="1"/>
  <c r="O6" i="1"/>
  <c r="O7" i="1"/>
  <c r="O2" i="1"/>
  <c r="M3" i="1"/>
  <c r="M4" i="1"/>
  <c r="M5" i="1"/>
  <c r="M6" i="1"/>
  <c r="M7" i="1"/>
  <c r="M2" i="1"/>
  <c r="F3" i="1"/>
  <c r="H3" i="1" s="1"/>
  <c r="G3" i="1"/>
  <c r="F4" i="1"/>
  <c r="F5" i="1"/>
  <c r="F6" i="1"/>
  <c r="G6" i="1" s="1"/>
  <c r="F7" i="1"/>
  <c r="B58" i="2"/>
  <c r="F61" i="2"/>
  <c r="B60" i="2"/>
  <c r="J54" i="2"/>
  <c r="B54" i="2"/>
  <c r="E46" i="2"/>
  <c r="H45" i="2"/>
  <c r="E45" i="2"/>
  <c r="B45" i="2"/>
  <c r="B50" i="2" s="1"/>
  <c r="G4" i="1" l="1"/>
  <c r="G7" i="1"/>
  <c r="H4" i="1"/>
  <c r="I4" i="1" s="1"/>
  <c r="G5" i="1"/>
  <c r="H5" i="1" s="1"/>
  <c r="I5" i="1" s="1"/>
  <c r="H6" i="1"/>
  <c r="I6" i="1" s="1"/>
  <c r="J6" i="1" s="1"/>
  <c r="I3" i="1"/>
  <c r="B46" i="2"/>
  <c r="J50" i="2"/>
  <c r="J46" i="2"/>
  <c r="J4" i="1" l="1"/>
  <c r="K4" i="1" s="1"/>
  <c r="H7" i="1"/>
  <c r="J7" i="1" s="1"/>
  <c r="K7" i="1" s="1"/>
  <c r="K6" i="1"/>
  <c r="I7" i="1"/>
  <c r="J3" i="1"/>
  <c r="K3" i="1" s="1"/>
  <c r="J5" i="1"/>
  <c r="K5" i="1" s="1"/>
</calcChain>
</file>

<file path=xl/sharedStrings.xml><?xml version="1.0" encoding="utf-8"?>
<sst xmlns="http://schemas.openxmlformats.org/spreadsheetml/2006/main" count="182" uniqueCount="110">
  <si>
    <t>Timestamp</t>
  </si>
  <si>
    <t>Email address</t>
  </si>
  <si>
    <t>Surname and Name</t>
  </si>
  <si>
    <t>Matricula</t>
  </si>
  <si>
    <t>1) What is the meaning of the Environmental Correction Factor K2A?</t>
  </si>
  <si>
    <t>2) Inside a factory which is "wide and short", how can you estimate the correct value of the Environmental Correction Factor K2A?</t>
  </si>
  <si>
    <t>3) What is the effect on increasing the amount of absorption (A) inside a room?</t>
  </si>
  <si>
    <t>4) Which kind of impulsive test source is better suited for measuring the impulse response in a large sport palace?</t>
  </si>
  <si>
    <t>5) A point source is placed on the floor inside a Sabinian room having a volume of 200+EF m3 and a reverberation time of 3+F/5 s. Compute the value of K2A at 2+E/10 m from the source.</t>
  </si>
  <si>
    <t>6) A sound treatment is added to the room of the previous exercise, which causes the reverberation time to reduce to 1.0 s. Compute the new value of K2A.</t>
  </si>
  <si>
    <t>7) In a Sabinian room, the SPL decays by 30+E dB during the second following the instant when the source is switched off. Compute the value of the reverberation time T20.</t>
  </si>
  <si>
    <t>8) An ESS measurement is performed with a signal sweeping from 20+E*10 Hz to 20 kHz, 5+F s long, exponential. After convolution with the inverse sweep, the noise is attenuated significantly. What is the maximum theoretical attenuation (evaluated applying directly the inverse sweep to the test signal)?</t>
  </si>
  <si>
    <t>10181611@guest.unipr.it</t>
  </si>
  <si>
    <t>khurshid omama</t>
  </si>
  <si>
    <t>c</t>
  </si>
  <si>
    <t>It is the boost in level caused by the noise created by other sources than the one being evaluated</t>
  </si>
  <si>
    <t>With the Farina/Fornari formula</t>
  </si>
  <si>
    <t>The reverberation time increases</t>
  </si>
  <si>
    <t>Balloons</t>
  </si>
  <si>
    <t>jaspreet.pal@studenti.unipr.it</t>
  </si>
  <si>
    <t>Pal Jaspreet</t>
  </si>
  <si>
    <t>The SPL decreases significantly far from the source, and almost nothing close to the source, The reverberation time decreases</t>
  </si>
  <si>
    <t>Clapping machine, Blank pistol</t>
  </si>
  <si>
    <t>(f=500) T20=0.03</t>
  </si>
  <si>
    <t>alessio.pedrona@studenti.unipr.it</t>
  </si>
  <si>
    <t>Pedrona Alessio</t>
  </si>
  <si>
    <t>It is the boost in level caused by the room reflections, with reference to the level which would be measured at the same distance from the source, outdoors</t>
  </si>
  <si>
    <t>Firecrackers</t>
  </si>
  <si>
    <t>13.3 dB(A)</t>
  </si>
  <si>
    <t>12.4 dB(A)</t>
  </si>
  <si>
    <t>1.58 s</t>
  </si>
  <si>
    <t>reinhardt.rading@studenti.unipr.it</t>
  </si>
  <si>
    <t>Rading Reinhardt</t>
  </si>
  <si>
    <t>It is the difference between the sound power level (cause) and the sound pressure level (effect)</t>
  </si>
  <si>
    <t>The SPL decreases everywhere by the same amount, as K2A reduces, The reverberation time decreases</t>
  </si>
  <si>
    <t>Firecrackers, Loudspeaker, Blank pistol</t>
  </si>
  <si>
    <t>0.8724 dB</t>
  </si>
  <si>
    <t>0.2242 dB</t>
  </si>
  <si>
    <t>0.5 s</t>
  </si>
  <si>
    <t>michael.petrolini@studenti.unipr.it</t>
  </si>
  <si>
    <t>Petrolini Michael</t>
  </si>
  <si>
    <t>Firecrackers, Clapping machine, Blank pistol</t>
  </si>
  <si>
    <t>12.5 dB</t>
  </si>
  <si>
    <t>6.98 dB</t>
  </si>
  <si>
    <t>1.67 s</t>
  </si>
  <si>
    <t>abdelwakil.nasrallah@studenti.unipr.it</t>
  </si>
  <si>
    <t>Nasr Allah Abdelwakil</t>
  </si>
  <si>
    <t>14,1 dB</t>
  </si>
  <si>
    <t>12,8 dB</t>
  </si>
  <si>
    <t>MATRICULA</t>
  </si>
  <si>
    <t>A</t>
  </si>
  <si>
    <t>B</t>
  </si>
  <si>
    <t>C</t>
  </si>
  <si>
    <t>D</t>
  </si>
  <si>
    <t>E</t>
  </si>
  <si>
    <t>F</t>
  </si>
  <si>
    <t>Test 2 - 20/10/2020 - Applied Acoustics</t>
  </si>
  <si>
    <r>
      <t>1)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1"/>
        <color rgb="FF000000"/>
        <rFont val="Calibri"/>
        <family val="2"/>
      </rPr>
      <t>What is the meaning of the Environmental Correction Factor K2A?</t>
    </r>
  </si>
  <si>
    <t>one answer only: 1 point if correct, -1 point if wrong, 0 point if "no answer"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</si>
  <si>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is the level caused by the reverberant sound field, which sums energetically to the level caused by the direct sound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</si>
  <si>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is the boost in level caused by the noise created by other sources than the one being evaluated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</si>
  <si>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is the boost in level caused by the room reflections, with reference to the level which would be measured at the same distance form the source, outdoors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</si>
  <si>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is the difference between the sound power level (cause) and the sound pressure level (effect)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</si>
  <si>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It is the difference between the sound pressure level and the sound intensity level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</si>
  <si>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I do not know (no answer)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</si>
  <si>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With the standard formula K2A = 10*log10(1+4*S/A)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</si>
  <si>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With the Sabine formula, reversed: A = 0.16*V/T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</si>
  <si>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With the Farina/Fornari formula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</si>
  <si>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Measuring directly the SPL around the sound source using a sound level meter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</si>
  <si>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As the room does not follow the Sabine's constraints, it is impossible to predict K2A.</t>
    </r>
  </si>
  <si>
    <t>multiple answers allowed: for each answer, 1 point if correct, -1 point if wrong, 0 point if "not selected"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</si>
  <si>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SPL decreases everywhere by the same amount, as K2A reduces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</si>
  <si>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SPL decreases significantly close to the source, and much less far away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</si>
  <si>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SPL decreases significantly far from the source, and almost nothing close to the source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</si>
  <si>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reverberation time increases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</si>
  <si>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reverberation time decreases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</si>
  <si>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value of DL2 increases, tending to 6 dB/doubling distance in case of a perfectly anechoic room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</si>
  <si>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Balloons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</si>
  <si>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Firecrackers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</si>
  <si>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Clapping machine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</si>
  <si>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Loudspeaker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</si>
  <si>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Hand clapping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</si>
  <si>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Blank pistol</t>
    </r>
  </si>
  <si>
    <t>write number and measurement unit</t>
  </si>
  <si>
    <t>V =</t>
  </si>
  <si>
    <t>m3</t>
  </si>
  <si>
    <t>T =</t>
  </si>
  <si>
    <t>s</t>
  </si>
  <si>
    <t>d =</t>
  </si>
  <si>
    <t>m</t>
  </si>
  <si>
    <t>A = 0.16*V/T =</t>
  </si>
  <si>
    <t>m2</t>
  </si>
  <si>
    <t>S = 2*pi*d^2 =</t>
  </si>
  <si>
    <t>K2A = 10*log10(1+4*S/A) =</t>
  </si>
  <si>
    <t>dB</t>
  </si>
  <si>
    <t>A_2 = 0.16*V/T =</t>
  </si>
  <si>
    <t>K2A = 10*log10(1+4*S/A_2) =</t>
  </si>
  <si>
    <t>Decay =</t>
  </si>
  <si>
    <t>dB/s</t>
  </si>
  <si>
    <t>T20 = 60/decay =</t>
  </si>
  <si>
    <t>f1 =</t>
  </si>
  <si>
    <t>Hz</t>
  </si>
  <si>
    <t>f2 =</t>
  </si>
  <si>
    <t>L =</t>
  </si>
  <si>
    <t>Delta L = -84.4 -20*log10(L/10) -1/3*10*log10(f_1/20) =</t>
  </si>
  <si>
    <t>N.</t>
  </si>
  <si>
    <t>Correct Answer</t>
  </si>
  <si>
    <t>Correct Unit</t>
  </si>
  <si>
    <t>Score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</si>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</sst>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9" formatCode="0.0"/>
    <numFmt numFmtId="170" formatCode="0.000"/>
  </numFmts>
  <fonts count="13" x14ac:knownFonts="1"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Times New Roman"/>
      <family val="1"/>
    </font>
    <font>
      <i/>
      <sz val="11"/>
      <color rgb="FF00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 indent="4"/>
    </xf>
    <xf numFmtId="0" fontId="0" fillId="2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/>
    <xf numFmtId="169" fontId="9" fillId="0" borderId="7" xfId="0" applyNumberFormat="1" applyFont="1" applyBorder="1" applyAlignment="1"/>
    <xf numFmtId="0" fontId="9" fillId="0" borderId="8" xfId="0" applyFont="1" applyBorder="1" applyAlignment="1"/>
    <xf numFmtId="170" fontId="9" fillId="0" borderId="7" xfId="0" applyNumberFormat="1" applyFont="1" applyBorder="1" applyAlignment="1"/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9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169" fontId="12" fillId="0" borderId="10" xfId="0" applyNumberFormat="1" applyFont="1" applyBorder="1" applyAlignment="1">
      <alignment horizontal="center"/>
    </xf>
    <xf numFmtId="0" fontId="11" fillId="0" borderId="10" xfId="0" applyFont="1" applyBorder="1"/>
    <xf numFmtId="2" fontId="12" fillId="0" borderId="10" xfId="0" applyNumberFormat="1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164" fontId="1" fillId="0" borderId="10" xfId="0" applyNumberFormat="1" applyFont="1" applyBorder="1" applyAlignment="1"/>
    <xf numFmtId="0" fontId="1" fillId="0" borderId="10" xfId="0" applyFont="1" applyBorder="1" applyAlignment="1"/>
    <xf numFmtId="0" fontId="0" fillId="0" borderId="10" xfId="0" applyFont="1" applyBorder="1" applyAlignment="1"/>
    <xf numFmtId="0" fontId="0" fillId="0" borderId="16" xfId="0" applyFont="1" applyBorder="1" applyAlignment="1"/>
    <xf numFmtId="164" fontId="1" fillId="0" borderId="17" xfId="0" applyNumberFormat="1" applyFont="1" applyBorder="1" applyAlignment="1"/>
    <xf numFmtId="0" fontId="1" fillId="0" borderId="17" xfId="0" applyFont="1" applyBorder="1" applyAlignment="1"/>
    <xf numFmtId="0" fontId="0" fillId="0" borderId="17" xfId="0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169" fontId="12" fillId="0" borderId="17" xfId="0" applyNumberFormat="1" applyFont="1" applyBorder="1" applyAlignment="1">
      <alignment horizontal="center"/>
    </xf>
    <xf numFmtId="0" fontId="11" fillId="0" borderId="17" xfId="0" applyFont="1" applyBorder="1"/>
    <xf numFmtId="0" fontId="0" fillId="0" borderId="17" xfId="0" applyFont="1" applyBorder="1" applyAlignment="1"/>
    <xf numFmtId="2" fontId="1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33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T8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4.3984375" defaultRowHeight="15.75" customHeight="1" x14ac:dyDescent="0.35"/>
  <cols>
    <col min="1" max="1" width="4.1328125" customWidth="1"/>
    <col min="2" max="4" width="21.53125" customWidth="1"/>
    <col min="5" max="5" width="9.796875" customWidth="1"/>
    <col min="6" max="11" width="2.6640625" customWidth="1"/>
    <col min="12" max="12" width="21.53125" customWidth="1"/>
    <col min="13" max="13" width="6.9296875" customWidth="1"/>
    <col min="14" max="14" width="21.53125" customWidth="1"/>
    <col min="15" max="15" width="7.1328125" customWidth="1"/>
    <col min="16" max="16" width="21.53125" customWidth="1"/>
    <col min="17" max="22" width="3" customWidth="1"/>
    <col min="23" max="23" width="21.53125" customWidth="1"/>
    <col min="24" max="29" width="2.73046875" customWidth="1"/>
    <col min="30" max="30" width="23.59765625" customWidth="1"/>
    <col min="31" max="31" width="8.06640625" customWidth="1"/>
    <col min="32" max="32" width="7.86328125" customWidth="1"/>
    <col min="33" max="33" width="6.19921875" customWidth="1"/>
    <col min="34" max="34" width="21.53125" customWidth="1"/>
    <col min="35" max="36" width="8.1328125" customWidth="1"/>
    <col min="37" max="37" width="6.19921875" customWidth="1"/>
    <col min="38" max="38" width="21.53125" customWidth="1"/>
    <col min="39" max="40" width="7.9296875" customWidth="1"/>
    <col min="41" max="41" width="5.9296875" customWidth="1"/>
    <col min="42" max="42" width="37.33203125" customWidth="1"/>
    <col min="43" max="44" width="7.46484375" customWidth="1"/>
    <col min="45" max="45" width="6.265625" customWidth="1"/>
    <col min="46" max="46" width="7.46484375" customWidth="1"/>
    <col min="47" max="48" width="21.53125" customWidth="1"/>
  </cols>
  <sheetData>
    <row r="1" spans="1:46" ht="114" customHeight="1" thickTop="1" x14ac:dyDescent="0.35">
      <c r="A1" s="36" t="s">
        <v>105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50</v>
      </c>
      <c r="G1" s="25" t="s">
        <v>51</v>
      </c>
      <c r="H1" s="25" t="s">
        <v>52</v>
      </c>
      <c r="I1" s="25" t="s">
        <v>53</v>
      </c>
      <c r="J1" s="25" t="s">
        <v>54</v>
      </c>
      <c r="K1" s="25" t="s">
        <v>55</v>
      </c>
      <c r="L1" s="27" t="s">
        <v>4</v>
      </c>
      <c r="M1" s="25" t="s">
        <v>108</v>
      </c>
      <c r="N1" s="27" t="s">
        <v>5</v>
      </c>
      <c r="O1" s="25" t="s">
        <v>108</v>
      </c>
      <c r="P1" s="27" t="s">
        <v>6</v>
      </c>
      <c r="Q1" s="30">
        <v>-1</v>
      </c>
      <c r="R1" s="30">
        <v>-1</v>
      </c>
      <c r="S1" s="30">
        <v>1</v>
      </c>
      <c r="T1" s="30">
        <v>-1</v>
      </c>
      <c r="U1" s="30">
        <v>1</v>
      </c>
      <c r="V1" s="30">
        <v>1</v>
      </c>
      <c r="W1" s="27" t="s">
        <v>7</v>
      </c>
      <c r="X1" s="30">
        <v>1</v>
      </c>
      <c r="Y1" s="30">
        <v>1</v>
      </c>
      <c r="Z1" s="30">
        <v>1</v>
      </c>
      <c r="AA1" s="30">
        <v>-1</v>
      </c>
      <c r="AB1" s="30">
        <v>-1</v>
      </c>
      <c r="AC1" s="30">
        <v>1</v>
      </c>
      <c r="AD1" s="27" t="s">
        <v>8</v>
      </c>
      <c r="AE1" s="25" t="s">
        <v>106</v>
      </c>
      <c r="AF1" s="25" t="s">
        <v>107</v>
      </c>
      <c r="AG1" s="25" t="s">
        <v>108</v>
      </c>
      <c r="AH1" s="27" t="s">
        <v>9</v>
      </c>
      <c r="AI1" s="25" t="s">
        <v>106</v>
      </c>
      <c r="AJ1" s="25" t="s">
        <v>107</v>
      </c>
      <c r="AK1" s="25" t="s">
        <v>108</v>
      </c>
      <c r="AL1" s="27" t="s">
        <v>10</v>
      </c>
      <c r="AM1" s="25" t="s">
        <v>106</v>
      </c>
      <c r="AN1" s="25" t="s">
        <v>107</v>
      </c>
      <c r="AO1" s="25" t="s">
        <v>108</v>
      </c>
      <c r="AP1" s="27" t="s">
        <v>11</v>
      </c>
      <c r="AQ1" s="25" t="s">
        <v>106</v>
      </c>
      <c r="AR1" s="25" t="s">
        <v>107</v>
      </c>
      <c r="AS1" s="25" t="s">
        <v>108</v>
      </c>
      <c r="AT1" s="28" t="s">
        <v>109</v>
      </c>
    </row>
    <row r="2" spans="1:46" ht="13.15" x14ac:dyDescent="0.4">
      <c r="A2" s="37">
        <v>1</v>
      </c>
      <c r="B2" s="38">
        <v>44124.41731488426</v>
      </c>
      <c r="C2" s="39" t="s">
        <v>12</v>
      </c>
      <c r="D2" s="39" t="s">
        <v>13</v>
      </c>
      <c r="E2" s="39" t="s">
        <v>14</v>
      </c>
      <c r="F2" s="26">
        <v>0</v>
      </c>
      <c r="G2" s="26">
        <v>0</v>
      </c>
      <c r="H2" s="26">
        <v>0</v>
      </c>
      <c r="I2" s="26">
        <v>0</v>
      </c>
      <c r="J2" s="26">
        <v>0</v>
      </c>
      <c r="K2" s="26">
        <v>0</v>
      </c>
      <c r="L2" s="39" t="s">
        <v>15</v>
      </c>
      <c r="M2" s="29">
        <f>IF(L2="It is the boost in level caused by the room reflections, with reference to the level which would be measured at the same distance from the source, outdoors",1,IF(L2="",0,-1))</f>
        <v>-1</v>
      </c>
      <c r="N2" s="39" t="s">
        <v>16</v>
      </c>
      <c r="O2" s="29">
        <f>IF(N2="With the Farina/Fornari formula",1,IF(N2="",0,-1))</f>
        <v>1</v>
      </c>
      <c r="P2" s="39" t="s">
        <v>17</v>
      </c>
      <c r="Q2" s="29">
        <f>IF(ISERROR(FIND("The SPL decreases everywhere by the same amount, as K2A reduces",P2,1)),0,Q$1)</f>
        <v>0</v>
      </c>
      <c r="R2" s="29">
        <f>IF(ISERROR(FIND("The SPL decreases significantly close to the source, and much less far away",P2,1)),0,R$1)</f>
        <v>0</v>
      </c>
      <c r="S2" s="29">
        <f>IF(ISERROR(FIND("The SPL decreases significantly far from the source, and almost nothing close to the source",P2,1)),0,S$1)</f>
        <v>0</v>
      </c>
      <c r="T2" s="29">
        <f>IF(ISERROR(FIND("The reverberation time increases",P2,1)),0,T$1)</f>
        <v>-1</v>
      </c>
      <c r="U2" s="29">
        <f>IF(ISERROR(FIND("The reverberation time decreases",P2,1)),0,U$1)</f>
        <v>0</v>
      </c>
      <c r="V2" s="29">
        <f>IF(ISERROR(FIND("The value of DL2 increases, tending to 6 dB/doubling distance in case of a perfectly anechoic room",P2,1)),0,V$1)</f>
        <v>0</v>
      </c>
      <c r="W2" s="39" t="s">
        <v>18</v>
      </c>
      <c r="X2" s="29">
        <f>IF(ISERROR(FIND("Balloons",W2,1)),0,X$1)</f>
        <v>1</v>
      </c>
      <c r="Y2" s="29">
        <f>IF(ISERROR(FIND("Firecrackers",W2,1)),0,Y$1)</f>
        <v>0</v>
      </c>
      <c r="Z2" s="29">
        <f>IF(ISERROR(FIND("Clapping machine",W2,1)),0,Z$1)</f>
        <v>0</v>
      </c>
      <c r="AA2" s="29">
        <f>IF(ISERROR(FIND("Loudspeaker",W2,1)),0,AA$1)</f>
        <v>0</v>
      </c>
      <c r="AB2" s="29">
        <f>IF(ISERROR(FIND("Hand clapping",W2,1)),0,AB$1)</f>
        <v>0</v>
      </c>
      <c r="AC2" s="29">
        <f>IF(ISERROR(FIND("Blank pistol",W2,1)),0,AC$1)</f>
        <v>0</v>
      </c>
      <c r="AD2" s="40"/>
      <c r="AE2" s="31">
        <f>10*LOG10(1+4*2*PI()*(2+J2/10)^2/(0.16*(200+J2*10+K2)/(3+K2/5)))</f>
        <v>10.180668136276116</v>
      </c>
      <c r="AF2" s="32" t="s">
        <v>94</v>
      </c>
      <c r="AG2" s="29">
        <f>IF(AD2="",0,IF(EXACT(RIGHT(AD2,2),"dB"),IF(ABS(VALUE(LEFT(AD2,FIND(" ",AD2,1)))-AE2)&lt;=0.5,1,-1),-1))</f>
        <v>0</v>
      </c>
      <c r="AH2" s="39">
        <v>0.16</v>
      </c>
      <c r="AI2" s="31">
        <f>10*LOG10(1+4*2*PI()*(2+J2/10)^2/(0.16*(200+J2*10+K2)/(1)))</f>
        <v>6.1716738161735654</v>
      </c>
      <c r="AJ2" s="32" t="s">
        <v>94</v>
      </c>
      <c r="AK2" s="29">
        <f>IF(AH2="",0,IF(EXACT(RIGHT(AH2,2),"dB"),IF(ABS(VALUE(LEFT(AH2,FIND(" ",AH2,1)))-AI2)&lt;=0.5,1,-1),-1))</f>
        <v>-1</v>
      </c>
      <c r="AL2" s="39">
        <v>30</v>
      </c>
      <c r="AM2" s="33">
        <f>60/(30+J2)</f>
        <v>2</v>
      </c>
      <c r="AN2" s="32" t="s">
        <v>87</v>
      </c>
      <c r="AO2" s="29">
        <f>IF(AL2="",0,IF(EXACT(RIGHT(AL2,1),"s"),IF(ABS(VALUE(LEFT(AL2,FIND(" ",AL2,1)))-AM2)/AM2&lt;=0.05,1,-1),-1))</f>
        <v>-1</v>
      </c>
      <c r="AP2" s="40"/>
      <c r="AQ2" s="31">
        <f>-84.4-20*LOG10((5+K2)/10)-1/3*10*LOG10((20+J2*10)/20)</f>
        <v>-78.379400086720381</v>
      </c>
      <c r="AR2" s="32" t="s">
        <v>94</v>
      </c>
      <c r="AS2" s="29">
        <f>IF(AP2="",0,IF(EXACT(RIGHT(AP2,2),"dB"),IF(ABS(VALUE(LEFT(AP2,FIND(" ",AP2,1)))-AQ2)&lt;=0.5,1,-1),-1))</f>
        <v>0</v>
      </c>
      <c r="AT2" s="34">
        <f>M2+O2+SUM(Q2:V2)+SUM(X2:AC2)+AG2+AK2+AO2+AS2</f>
        <v>-2</v>
      </c>
    </row>
    <row r="3" spans="1:46" ht="13.15" x14ac:dyDescent="0.4">
      <c r="A3" s="37">
        <v>2</v>
      </c>
      <c r="B3" s="38">
        <v>44124.418495879625</v>
      </c>
      <c r="C3" s="39" t="s">
        <v>19</v>
      </c>
      <c r="D3" s="39" t="s">
        <v>20</v>
      </c>
      <c r="E3" s="39">
        <v>324260</v>
      </c>
      <c r="F3" s="26">
        <f t="shared" ref="F3:F7" si="0">INT(E3/100000)</f>
        <v>3</v>
      </c>
      <c r="G3" s="26">
        <f t="shared" ref="G3:G7" si="1">INT(($E3-100000*F3)/10000)</f>
        <v>2</v>
      </c>
      <c r="H3" s="26">
        <f t="shared" ref="H3:H7" si="2">INT(($E3-100000*F3-10000*G3)/1000)</f>
        <v>4</v>
      </c>
      <c r="I3" s="26">
        <f t="shared" ref="I3:I7" si="3">INT(($E3-100000*$F3-10000*$G3-1000*$H3)/100)</f>
        <v>2</v>
      </c>
      <c r="J3" s="26">
        <f t="shared" ref="J3:J7" si="4">INT(($E3-100000*$F3-10000*$G3-1000*$H3-100*$I3)/10)</f>
        <v>6</v>
      </c>
      <c r="K3" s="26">
        <f t="shared" ref="K3:K7" si="5">INT(($E3-100000*$F3-10000*$G3-1000*$H3-100*$I3-10*$J3))</f>
        <v>0</v>
      </c>
      <c r="L3" s="40"/>
      <c r="M3" s="29">
        <f t="shared" ref="M3:M7" si="6">IF(L3="It is the boost in level caused by the room reflections, with reference to the level which would be measured at the same distance from the source, outdoors",1,IF(L3="",0,-1))</f>
        <v>0</v>
      </c>
      <c r="N3" s="39" t="s">
        <v>16</v>
      </c>
      <c r="O3" s="29">
        <f t="shared" ref="O3:O7" si="7">IF(N3="With the Farina/Fornari formula",1,IF(N3="",0,-1))</f>
        <v>1</v>
      </c>
      <c r="P3" s="39" t="s">
        <v>21</v>
      </c>
      <c r="Q3" s="29">
        <f t="shared" ref="Q3:Q7" si="8">IF(ISERROR(FIND("The SPL decreases everywhere by the same amount, as K2A reduces",P3,1)),0,Q$1)</f>
        <v>0</v>
      </c>
      <c r="R3" s="29">
        <f t="shared" ref="R3:R7" si="9">IF(ISERROR(FIND("The SPL decreases significantly close to the source, and much less far away",P3,1)),0,R$1)</f>
        <v>0</v>
      </c>
      <c r="S3" s="29">
        <f t="shared" ref="S3:S7" si="10">IF(ISERROR(FIND("The SPL decreases significantly far from the source, and almost nothing close to the source",P3,1)),0,S$1)</f>
        <v>1</v>
      </c>
      <c r="T3" s="29">
        <f t="shared" ref="T3:T7" si="11">IF(ISERROR(FIND("The reverberation time increases",P3,1)),0,T$1)</f>
        <v>0</v>
      </c>
      <c r="U3" s="29">
        <f t="shared" ref="U3:U7" si="12">IF(ISERROR(FIND("The reverberation time decreases",P3,1)),0,U$1)</f>
        <v>1</v>
      </c>
      <c r="V3" s="29">
        <f t="shared" ref="V3:V7" si="13">IF(ISERROR(FIND("The value of DL2 increases, tending to 6 dB/doubling distance in case of a perfectly anechoic room",P3,1)),0,V$1)</f>
        <v>0</v>
      </c>
      <c r="W3" s="39" t="s">
        <v>22</v>
      </c>
      <c r="X3" s="29">
        <f t="shared" ref="X3:X7" si="14">IF(ISERROR(FIND("Balloons",W3,1)),0,X$1)</f>
        <v>0</v>
      </c>
      <c r="Y3" s="29">
        <f t="shared" ref="Y3:Y7" si="15">IF(ISERROR(FIND("Firecrackers",W3,1)),0,Y$1)</f>
        <v>0</v>
      </c>
      <c r="Z3" s="29">
        <f t="shared" ref="Z3:Z7" si="16">IF(ISERROR(FIND("Clapping machine",W3,1)),0,Z$1)</f>
        <v>1</v>
      </c>
      <c r="AA3" s="29">
        <f t="shared" ref="AA3:AA7" si="17">IF(ISERROR(FIND("Loudspeaker",W3,1)),0,AA$1)</f>
        <v>0</v>
      </c>
      <c r="AB3" s="29">
        <f t="shared" ref="AB3:AB7" si="18">IF(ISERROR(FIND("Hand clapping",W3,1)),0,AB$1)</f>
        <v>0</v>
      </c>
      <c r="AC3" s="29">
        <f t="shared" ref="AC3:AC7" si="19">IF(ISERROR(FIND("Blank pistol",W3,1)),0,AC$1)</f>
        <v>1</v>
      </c>
      <c r="AD3" s="39">
        <v>14.06</v>
      </c>
      <c r="AE3" s="31">
        <f t="shared" ref="AE3:AE7" si="20">10*LOG10(1+4*2*PI()*(2+J3/10)^2/(0.16*(200+J3*10+K3)/(3+K3/5)))</f>
        <v>11.222883534831347</v>
      </c>
      <c r="AF3" s="32" t="s">
        <v>94</v>
      </c>
      <c r="AG3" s="29">
        <f t="shared" ref="AG3:AG6" si="21">IF(AD3="",0,IF(EXACT(RIGHT(AD3,2),"dB"),IF(ABS(VALUE(LEFT(AD3,FIND(" ",AD3,1)))-AE3)&lt;=0.5,1,-1),-1))</f>
        <v>-1</v>
      </c>
      <c r="AH3" s="39">
        <v>9.6199999999999992</v>
      </c>
      <c r="AI3" s="31">
        <f t="shared" ref="AI3:AI7" si="22">10*LOG10(1+4*2*PI()*(2+J3/10)^2/(0.16*(200+J3*10+K3)/(1)))</f>
        <v>7.062115599168898</v>
      </c>
      <c r="AJ3" s="32" t="s">
        <v>94</v>
      </c>
      <c r="AK3" s="29">
        <f t="shared" ref="AK3:AK6" si="23">IF(AH3="",0,IF(EXACT(RIGHT(AH3,2),"dB"),IF(ABS(VALUE(LEFT(AH3,FIND(" ",AH3,1)))-AI3)&lt;=0.5,1,-1),-1))</f>
        <v>-1</v>
      </c>
      <c r="AL3" s="40"/>
      <c r="AM3" s="33">
        <f t="shared" ref="AM3:AM7" si="24">60/(30+J3)</f>
        <v>1.6666666666666667</v>
      </c>
      <c r="AN3" s="32" t="s">
        <v>87</v>
      </c>
      <c r="AO3" s="29">
        <f t="shared" ref="AO3:AO7" si="25">IF(AL3="",0,IF(EXACT(RIGHT(AL3,1),"s"),IF(ABS(VALUE(LEFT(AL3,FIND(" ",AL3,1)))-AM3)/AM3&lt;=0.05,1,-1),-1))</f>
        <v>0</v>
      </c>
      <c r="AP3" s="39" t="s">
        <v>23</v>
      </c>
      <c r="AQ3" s="31">
        <f t="shared" ref="AQ3:AQ7" si="26">-84.4-20*LOG10((5+K3)/10)-1/3*10*LOG10((20+J3*10)/20)</f>
        <v>-80.386266724480251</v>
      </c>
      <c r="AR3" s="32" t="s">
        <v>94</v>
      </c>
      <c r="AS3" s="29">
        <f t="shared" ref="AS3:AS7" si="27">IF(AP3="",0,IF(EXACT(RIGHT(AP3,2),"dB"),IF(ABS(VALUE(LEFT(AP3,FIND(" ",AP3,1)))-AQ3)&lt;=0.5,1,-1),-1))</f>
        <v>-1</v>
      </c>
      <c r="AT3" s="34">
        <f t="shared" ref="AT3:AT7" si="28">M3+O3+SUM(Q3:V3)+SUM(X3:AC3)+AG3+AK3+AO3+AS3</f>
        <v>2</v>
      </c>
    </row>
    <row r="4" spans="1:46" ht="13.15" x14ac:dyDescent="0.4">
      <c r="A4" s="37">
        <v>3</v>
      </c>
      <c r="B4" s="38">
        <v>44124.419022569447</v>
      </c>
      <c r="C4" s="39" t="s">
        <v>24</v>
      </c>
      <c r="D4" s="39" t="s">
        <v>25</v>
      </c>
      <c r="E4" s="39">
        <v>313789</v>
      </c>
      <c r="F4" s="26">
        <f t="shared" si="0"/>
        <v>3</v>
      </c>
      <c r="G4" s="26">
        <f t="shared" si="1"/>
        <v>1</v>
      </c>
      <c r="H4" s="26">
        <f t="shared" si="2"/>
        <v>3</v>
      </c>
      <c r="I4" s="26">
        <f t="shared" si="3"/>
        <v>7</v>
      </c>
      <c r="J4" s="26">
        <f t="shared" si="4"/>
        <v>8</v>
      </c>
      <c r="K4" s="26">
        <f t="shared" si="5"/>
        <v>9</v>
      </c>
      <c r="L4" s="39" t="s">
        <v>26</v>
      </c>
      <c r="M4" s="29">
        <f t="shared" si="6"/>
        <v>1</v>
      </c>
      <c r="N4" s="39" t="s">
        <v>16</v>
      </c>
      <c r="O4" s="29">
        <f t="shared" si="7"/>
        <v>1</v>
      </c>
      <c r="P4" s="39" t="s">
        <v>21</v>
      </c>
      <c r="Q4" s="29">
        <f t="shared" si="8"/>
        <v>0</v>
      </c>
      <c r="R4" s="29">
        <f t="shared" si="9"/>
        <v>0</v>
      </c>
      <c r="S4" s="29">
        <f t="shared" si="10"/>
        <v>1</v>
      </c>
      <c r="T4" s="29">
        <f t="shared" si="11"/>
        <v>0</v>
      </c>
      <c r="U4" s="29">
        <f t="shared" si="12"/>
        <v>1</v>
      </c>
      <c r="V4" s="29">
        <f t="shared" si="13"/>
        <v>0</v>
      </c>
      <c r="W4" s="39" t="s">
        <v>27</v>
      </c>
      <c r="X4" s="29">
        <f t="shared" si="14"/>
        <v>0</v>
      </c>
      <c r="Y4" s="29">
        <f t="shared" si="15"/>
        <v>1</v>
      </c>
      <c r="Z4" s="29">
        <f t="shared" si="16"/>
        <v>0</v>
      </c>
      <c r="AA4" s="29">
        <f t="shared" si="17"/>
        <v>0</v>
      </c>
      <c r="AB4" s="29">
        <f t="shared" si="18"/>
        <v>0</v>
      </c>
      <c r="AC4" s="29">
        <f t="shared" si="19"/>
        <v>0</v>
      </c>
      <c r="AD4" s="39" t="s">
        <v>28</v>
      </c>
      <c r="AE4" s="31">
        <f t="shared" si="20"/>
        <v>13.315093085404481</v>
      </c>
      <c r="AF4" s="32" t="s">
        <v>94</v>
      </c>
      <c r="AG4" s="29">
        <v>1</v>
      </c>
      <c r="AH4" s="39" t="s">
        <v>29</v>
      </c>
      <c r="AI4" s="31">
        <f t="shared" si="22"/>
        <v>7.2108981568577448</v>
      </c>
      <c r="AJ4" s="32" t="s">
        <v>94</v>
      </c>
      <c r="AK4" s="29">
        <f t="shared" si="23"/>
        <v>-1</v>
      </c>
      <c r="AL4" s="39" t="s">
        <v>30</v>
      </c>
      <c r="AM4" s="33">
        <f t="shared" si="24"/>
        <v>1.5789473684210527</v>
      </c>
      <c r="AN4" s="32" t="s">
        <v>87</v>
      </c>
      <c r="AO4" s="29">
        <f t="shared" si="25"/>
        <v>1</v>
      </c>
      <c r="AP4" s="40"/>
      <c r="AQ4" s="31">
        <f t="shared" si="26"/>
        <v>-89.65246072801817</v>
      </c>
      <c r="AR4" s="32" t="s">
        <v>94</v>
      </c>
      <c r="AS4" s="29">
        <f t="shared" si="27"/>
        <v>0</v>
      </c>
      <c r="AT4" s="34">
        <f t="shared" si="28"/>
        <v>6</v>
      </c>
    </row>
    <row r="5" spans="1:46" ht="13.15" x14ac:dyDescent="0.4">
      <c r="A5" s="37">
        <v>4</v>
      </c>
      <c r="B5" s="38">
        <v>44124.419045023147</v>
      </c>
      <c r="C5" s="39" t="s">
        <v>31</v>
      </c>
      <c r="D5" s="39" t="s">
        <v>32</v>
      </c>
      <c r="E5" s="39">
        <v>301136</v>
      </c>
      <c r="F5" s="26">
        <f t="shared" si="0"/>
        <v>3</v>
      </c>
      <c r="G5" s="26">
        <f t="shared" si="1"/>
        <v>0</v>
      </c>
      <c r="H5" s="26">
        <f t="shared" si="2"/>
        <v>1</v>
      </c>
      <c r="I5" s="26">
        <f t="shared" si="3"/>
        <v>1</v>
      </c>
      <c r="J5" s="26">
        <f t="shared" si="4"/>
        <v>3</v>
      </c>
      <c r="K5" s="26">
        <f t="shared" si="5"/>
        <v>6</v>
      </c>
      <c r="L5" s="39" t="s">
        <v>33</v>
      </c>
      <c r="M5" s="29">
        <f t="shared" si="6"/>
        <v>-1</v>
      </c>
      <c r="N5" s="39" t="s">
        <v>16</v>
      </c>
      <c r="O5" s="29">
        <f t="shared" si="7"/>
        <v>1</v>
      </c>
      <c r="P5" s="39" t="s">
        <v>34</v>
      </c>
      <c r="Q5" s="29">
        <f t="shared" si="8"/>
        <v>-1</v>
      </c>
      <c r="R5" s="29">
        <f t="shared" si="9"/>
        <v>0</v>
      </c>
      <c r="S5" s="29">
        <f t="shared" si="10"/>
        <v>0</v>
      </c>
      <c r="T5" s="29">
        <f t="shared" si="11"/>
        <v>0</v>
      </c>
      <c r="U5" s="29">
        <f t="shared" si="12"/>
        <v>1</v>
      </c>
      <c r="V5" s="29">
        <f t="shared" si="13"/>
        <v>0</v>
      </c>
      <c r="W5" s="39" t="s">
        <v>35</v>
      </c>
      <c r="X5" s="29">
        <f t="shared" si="14"/>
        <v>0</v>
      </c>
      <c r="Y5" s="29">
        <f t="shared" si="15"/>
        <v>1</v>
      </c>
      <c r="Z5" s="29">
        <f t="shared" si="16"/>
        <v>0</v>
      </c>
      <c r="AA5" s="29">
        <f t="shared" si="17"/>
        <v>-1</v>
      </c>
      <c r="AB5" s="29">
        <f t="shared" si="18"/>
        <v>0</v>
      </c>
      <c r="AC5" s="29">
        <f t="shared" si="19"/>
        <v>1</v>
      </c>
      <c r="AD5" s="39" t="s">
        <v>36</v>
      </c>
      <c r="AE5" s="31">
        <f t="shared" si="20"/>
        <v>11.983302973054295</v>
      </c>
      <c r="AF5" s="32" t="s">
        <v>94</v>
      </c>
      <c r="AG5" s="29">
        <f t="shared" si="21"/>
        <v>-1</v>
      </c>
      <c r="AH5" s="39" t="s">
        <v>37</v>
      </c>
      <c r="AI5" s="31">
        <f t="shared" si="22"/>
        <v>6.5523257638503569</v>
      </c>
      <c r="AJ5" s="32" t="s">
        <v>94</v>
      </c>
      <c r="AK5" s="29">
        <f t="shared" si="23"/>
        <v>-1</v>
      </c>
      <c r="AL5" s="39" t="s">
        <v>38</v>
      </c>
      <c r="AM5" s="33">
        <f t="shared" si="24"/>
        <v>1.8181818181818181</v>
      </c>
      <c r="AN5" s="32" t="s">
        <v>87</v>
      </c>
      <c r="AO5" s="29">
        <f t="shared" si="25"/>
        <v>-1</v>
      </c>
      <c r="AP5" s="40"/>
      <c r="AQ5" s="31">
        <f t="shared" si="26"/>
        <v>-86.554320398737971</v>
      </c>
      <c r="AR5" s="32" t="s">
        <v>94</v>
      </c>
      <c r="AS5" s="29">
        <f t="shared" si="27"/>
        <v>0</v>
      </c>
      <c r="AT5" s="34">
        <f t="shared" si="28"/>
        <v>-2</v>
      </c>
    </row>
    <row r="6" spans="1:46" ht="13.15" x14ac:dyDescent="0.4">
      <c r="A6" s="37">
        <v>5</v>
      </c>
      <c r="B6" s="38">
        <v>44124.419746157408</v>
      </c>
      <c r="C6" s="39" t="s">
        <v>39</v>
      </c>
      <c r="D6" s="39" t="s">
        <v>40</v>
      </c>
      <c r="E6" s="39">
        <v>310666</v>
      </c>
      <c r="F6" s="26">
        <f t="shared" si="0"/>
        <v>3</v>
      </c>
      <c r="G6" s="26">
        <f t="shared" si="1"/>
        <v>1</v>
      </c>
      <c r="H6" s="26">
        <f t="shared" si="2"/>
        <v>0</v>
      </c>
      <c r="I6" s="26">
        <f t="shared" si="3"/>
        <v>6</v>
      </c>
      <c r="J6" s="26">
        <f t="shared" si="4"/>
        <v>6</v>
      </c>
      <c r="K6" s="26">
        <f t="shared" si="5"/>
        <v>6</v>
      </c>
      <c r="L6" s="39" t="s">
        <v>26</v>
      </c>
      <c r="M6" s="29">
        <f t="shared" si="6"/>
        <v>1</v>
      </c>
      <c r="N6" s="39" t="s">
        <v>16</v>
      </c>
      <c r="O6" s="29">
        <f t="shared" si="7"/>
        <v>1</v>
      </c>
      <c r="P6" s="39" t="s">
        <v>21</v>
      </c>
      <c r="Q6" s="29">
        <f t="shared" si="8"/>
        <v>0</v>
      </c>
      <c r="R6" s="29">
        <f t="shared" si="9"/>
        <v>0</v>
      </c>
      <c r="S6" s="29">
        <f t="shared" si="10"/>
        <v>1</v>
      </c>
      <c r="T6" s="29">
        <f t="shared" si="11"/>
        <v>0</v>
      </c>
      <c r="U6" s="29">
        <f t="shared" si="12"/>
        <v>1</v>
      </c>
      <c r="V6" s="29">
        <f t="shared" si="13"/>
        <v>0</v>
      </c>
      <c r="W6" s="39" t="s">
        <v>41</v>
      </c>
      <c r="X6" s="29">
        <f t="shared" si="14"/>
        <v>0</v>
      </c>
      <c r="Y6" s="29">
        <f t="shared" si="15"/>
        <v>1</v>
      </c>
      <c r="Z6" s="29">
        <f t="shared" si="16"/>
        <v>1</v>
      </c>
      <c r="AA6" s="29">
        <f t="shared" si="17"/>
        <v>0</v>
      </c>
      <c r="AB6" s="29">
        <f t="shared" si="18"/>
        <v>0</v>
      </c>
      <c r="AC6" s="29">
        <f t="shared" si="19"/>
        <v>1</v>
      </c>
      <c r="AD6" s="39" t="s">
        <v>42</v>
      </c>
      <c r="AE6" s="31">
        <f t="shared" si="20"/>
        <v>12.495941544860498</v>
      </c>
      <c r="AF6" s="32" t="s">
        <v>94</v>
      </c>
      <c r="AG6" s="29">
        <f t="shared" si="21"/>
        <v>1</v>
      </c>
      <c r="AH6" s="39" t="s">
        <v>43</v>
      </c>
      <c r="AI6" s="31">
        <f t="shared" si="22"/>
        <v>6.982701014541318</v>
      </c>
      <c r="AJ6" s="32" t="s">
        <v>94</v>
      </c>
      <c r="AK6" s="29">
        <f t="shared" si="23"/>
        <v>1</v>
      </c>
      <c r="AL6" s="39" t="s">
        <v>44</v>
      </c>
      <c r="AM6" s="33">
        <f t="shared" si="24"/>
        <v>1.6666666666666667</v>
      </c>
      <c r="AN6" s="32" t="s">
        <v>87</v>
      </c>
      <c r="AO6" s="29">
        <f t="shared" si="25"/>
        <v>1</v>
      </c>
      <c r="AP6" s="40"/>
      <c r="AQ6" s="31">
        <f t="shared" si="26"/>
        <v>-87.234720340924383</v>
      </c>
      <c r="AR6" s="32" t="s">
        <v>94</v>
      </c>
      <c r="AS6" s="29">
        <f t="shared" si="27"/>
        <v>0</v>
      </c>
      <c r="AT6" s="34">
        <f t="shared" si="28"/>
        <v>10</v>
      </c>
    </row>
    <row r="7" spans="1:46" ht="13.5" thickBot="1" x14ac:dyDescent="0.45">
      <c r="A7" s="41">
        <v>6</v>
      </c>
      <c r="B7" s="42">
        <v>44124.41978261574</v>
      </c>
      <c r="C7" s="43" t="s">
        <v>45</v>
      </c>
      <c r="D7" s="43" t="s">
        <v>46</v>
      </c>
      <c r="E7" s="43">
        <v>324114</v>
      </c>
      <c r="F7" s="44">
        <f t="shared" si="0"/>
        <v>3</v>
      </c>
      <c r="G7" s="44">
        <f t="shared" si="1"/>
        <v>2</v>
      </c>
      <c r="H7" s="44">
        <f t="shared" si="2"/>
        <v>4</v>
      </c>
      <c r="I7" s="44">
        <f t="shared" si="3"/>
        <v>1</v>
      </c>
      <c r="J7" s="44">
        <f t="shared" si="4"/>
        <v>1</v>
      </c>
      <c r="K7" s="44">
        <f t="shared" si="5"/>
        <v>4</v>
      </c>
      <c r="L7" s="43" t="s">
        <v>26</v>
      </c>
      <c r="M7" s="45">
        <f t="shared" si="6"/>
        <v>1</v>
      </c>
      <c r="N7" s="43" t="s">
        <v>16</v>
      </c>
      <c r="O7" s="45">
        <f t="shared" si="7"/>
        <v>1</v>
      </c>
      <c r="P7" s="43" t="s">
        <v>21</v>
      </c>
      <c r="Q7" s="45">
        <f t="shared" si="8"/>
        <v>0</v>
      </c>
      <c r="R7" s="45">
        <f t="shared" si="9"/>
        <v>0</v>
      </c>
      <c r="S7" s="45">
        <f t="shared" si="10"/>
        <v>1</v>
      </c>
      <c r="T7" s="45">
        <f t="shared" si="11"/>
        <v>0</v>
      </c>
      <c r="U7" s="45">
        <f t="shared" si="12"/>
        <v>1</v>
      </c>
      <c r="V7" s="45">
        <f t="shared" si="13"/>
        <v>0</v>
      </c>
      <c r="W7" s="43" t="s">
        <v>22</v>
      </c>
      <c r="X7" s="45">
        <f t="shared" si="14"/>
        <v>0</v>
      </c>
      <c r="Y7" s="45">
        <f t="shared" si="15"/>
        <v>0</v>
      </c>
      <c r="Z7" s="45">
        <f t="shared" si="16"/>
        <v>1</v>
      </c>
      <c r="AA7" s="45">
        <f t="shared" si="17"/>
        <v>0</v>
      </c>
      <c r="AB7" s="45">
        <f t="shared" si="18"/>
        <v>0</v>
      </c>
      <c r="AC7" s="45">
        <f t="shared" si="19"/>
        <v>1</v>
      </c>
      <c r="AD7" s="43" t="s">
        <v>47</v>
      </c>
      <c r="AE7" s="46">
        <f t="shared" si="20"/>
        <v>11.238730766050118</v>
      </c>
      <c r="AF7" s="47" t="s">
        <v>94</v>
      </c>
      <c r="AG7" s="45">
        <v>-1</v>
      </c>
      <c r="AH7" s="43" t="s">
        <v>48</v>
      </c>
      <c r="AI7" s="46">
        <f t="shared" si="22"/>
        <v>6.2705998719193454</v>
      </c>
      <c r="AJ7" s="47" t="s">
        <v>94</v>
      </c>
      <c r="AK7" s="45">
        <v>-1</v>
      </c>
      <c r="AL7" s="48"/>
      <c r="AM7" s="49">
        <f t="shared" si="24"/>
        <v>1.935483870967742</v>
      </c>
      <c r="AN7" s="47" t="s">
        <v>87</v>
      </c>
      <c r="AO7" s="45">
        <f t="shared" si="25"/>
        <v>0</v>
      </c>
      <c r="AP7" s="48"/>
      <c r="AQ7" s="46">
        <f t="shared" si="26"/>
        <v>-84.071821052305452</v>
      </c>
      <c r="AR7" s="47" t="s">
        <v>94</v>
      </c>
      <c r="AS7" s="45">
        <f t="shared" si="27"/>
        <v>0</v>
      </c>
      <c r="AT7" s="35">
        <f t="shared" si="28"/>
        <v>4</v>
      </c>
    </row>
    <row r="8" spans="1:46" ht="15.75" customHeight="1" thickTop="1" x14ac:dyDescent="0.35"/>
  </sheetData>
  <conditionalFormatting sqref="M2:M7">
    <cfRule type="cellIs" dxfId="32" priority="29" operator="lessThan">
      <formula>0</formula>
    </cfRule>
  </conditionalFormatting>
  <conditionalFormatting sqref="M2:M7">
    <cfRule type="containsText" dxfId="31" priority="30" operator="containsText" text=",">
      <formula>NOT(ISERROR(SEARCH(",",M2)))</formula>
    </cfRule>
  </conditionalFormatting>
  <conditionalFormatting sqref="M2:M7">
    <cfRule type="cellIs" dxfId="30" priority="28" operator="equal">
      <formula>0</formula>
    </cfRule>
  </conditionalFormatting>
  <conditionalFormatting sqref="O2:O7">
    <cfRule type="cellIs" dxfId="29" priority="26" operator="lessThan">
      <formula>0</formula>
    </cfRule>
  </conditionalFormatting>
  <conditionalFormatting sqref="O2:O7">
    <cfRule type="containsText" dxfId="28" priority="27" operator="containsText" text=",">
      <formula>NOT(ISERROR(SEARCH(",",O2)))</formula>
    </cfRule>
  </conditionalFormatting>
  <conditionalFormatting sqref="O2:O7">
    <cfRule type="cellIs" dxfId="27" priority="25" operator="equal">
      <formula>0</formula>
    </cfRule>
  </conditionalFormatting>
  <conditionalFormatting sqref="V2:V7">
    <cfRule type="cellIs" dxfId="26" priority="20" operator="lessThan">
      <formula>0</formula>
    </cfRule>
  </conditionalFormatting>
  <conditionalFormatting sqref="V2:V7">
    <cfRule type="containsText" dxfId="25" priority="21" operator="containsText" text=",">
      <formula>NOT(ISERROR(SEARCH(",",V2)))</formula>
    </cfRule>
  </conditionalFormatting>
  <conditionalFormatting sqref="V2:V7">
    <cfRule type="cellIs" dxfId="24" priority="19" operator="equal">
      <formula>0</formula>
    </cfRule>
  </conditionalFormatting>
  <conditionalFormatting sqref="Q2:U7">
    <cfRule type="cellIs" dxfId="23" priority="23" operator="lessThan">
      <formula>0</formula>
    </cfRule>
  </conditionalFormatting>
  <conditionalFormatting sqref="Q2:U7">
    <cfRule type="containsText" dxfId="22" priority="24" operator="containsText" text=",">
      <formula>NOT(ISERROR(SEARCH(",",Q2)))</formula>
    </cfRule>
  </conditionalFormatting>
  <conditionalFormatting sqref="Q2:U7">
    <cfRule type="cellIs" dxfId="21" priority="22" operator="equal">
      <formula>0</formula>
    </cfRule>
  </conditionalFormatting>
  <conditionalFormatting sqref="AC2:AC7">
    <cfRule type="cellIs" dxfId="20" priority="14" operator="lessThan">
      <formula>0</formula>
    </cfRule>
  </conditionalFormatting>
  <conditionalFormatting sqref="AC2:AC7">
    <cfRule type="containsText" dxfId="19" priority="15" operator="containsText" text=",">
      <formula>NOT(ISERROR(SEARCH(",",AC2)))</formula>
    </cfRule>
  </conditionalFormatting>
  <conditionalFormatting sqref="AC2:AC7">
    <cfRule type="cellIs" dxfId="18" priority="13" operator="equal">
      <formula>0</formula>
    </cfRule>
  </conditionalFormatting>
  <conditionalFormatting sqref="X2:AB7">
    <cfRule type="cellIs" dxfId="17" priority="17" operator="lessThan">
      <formula>0</formula>
    </cfRule>
  </conditionalFormatting>
  <conditionalFormatting sqref="X2:AB7">
    <cfRule type="containsText" dxfId="16" priority="18" operator="containsText" text=",">
      <formula>NOT(ISERROR(SEARCH(",",X2)))</formula>
    </cfRule>
  </conditionalFormatting>
  <conditionalFormatting sqref="X2:AB7">
    <cfRule type="cellIs" dxfId="15" priority="16" operator="equal">
      <formula>0</formula>
    </cfRule>
  </conditionalFormatting>
  <conditionalFormatting sqref="AG2:AG7">
    <cfRule type="cellIs" dxfId="14" priority="11" operator="lessThan">
      <formula>0</formula>
    </cfRule>
  </conditionalFormatting>
  <conditionalFormatting sqref="AG2:AG7">
    <cfRule type="containsText" dxfId="13" priority="12" operator="containsText" text=",">
      <formula>NOT(ISERROR(SEARCH(",",AG2)))</formula>
    </cfRule>
  </conditionalFormatting>
  <conditionalFormatting sqref="AG2:AG7">
    <cfRule type="cellIs" dxfId="12" priority="10" operator="equal">
      <formula>0</formula>
    </cfRule>
  </conditionalFormatting>
  <conditionalFormatting sqref="AK2:AK7">
    <cfRule type="cellIs" dxfId="9" priority="7" operator="equal">
      <formula>0</formula>
    </cfRule>
  </conditionalFormatting>
  <conditionalFormatting sqref="AK2:AK7">
    <cfRule type="cellIs" dxfId="8" priority="8" operator="lessThan">
      <formula>0</formula>
    </cfRule>
  </conditionalFormatting>
  <conditionalFormatting sqref="AK2:AK7">
    <cfRule type="containsText" dxfId="7" priority="9" operator="containsText" text=",">
      <formula>NOT(ISERROR(SEARCH(",",AK2)))</formula>
    </cfRule>
  </conditionalFormatting>
  <conditionalFormatting sqref="AO2:AO7">
    <cfRule type="cellIs" dxfId="5" priority="4" operator="equal">
      <formula>0</formula>
    </cfRule>
  </conditionalFormatting>
  <conditionalFormatting sqref="AO2:AO7">
    <cfRule type="cellIs" dxfId="4" priority="5" operator="lessThan">
      <formula>0</formula>
    </cfRule>
  </conditionalFormatting>
  <conditionalFormatting sqref="AO2:AO7">
    <cfRule type="containsText" dxfId="3" priority="6" operator="containsText" text=",">
      <formula>NOT(ISERROR(SEARCH(",",AO2)))</formula>
    </cfRule>
  </conditionalFormatting>
  <conditionalFormatting sqref="AS2:AS7">
    <cfRule type="cellIs" dxfId="2" priority="1" operator="equal">
      <formula>0</formula>
    </cfRule>
  </conditionalFormatting>
  <conditionalFormatting sqref="AS2:AS7">
    <cfRule type="cellIs" dxfId="1" priority="2" operator="lessThan">
      <formula>0</formula>
    </cfRule>
  </conditionalFormatting>
  <conditionalFormatting sqref="AS2:AS7">
    <cfRule type="containsText" dxfId="0" priority="3" operator="containsText" text=",">
      <formula>NOT(ISERROR(SEARCH(",",AS2)))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4688-E1A4-487F-BD0C-9A36C7B9DC13}">
  <dimension ref="A1:O61"/>
  <sheetViews>
    <sheetView topLeftCell="A34" workbookViewId="0">
      <selection activeCell="F61" sqref="F61"/>
    </sheetView>
  </sheetViews>
  <sheetFormatPr defaultRowHeight="12.75" x14ac:dyDescent="0.35"/>
  <cols>
    <col min="1" max="1" width="14.73046875" customWidth="1"/>
    <col min="4" max="4" width="12.3984375" customWidth="1"/>
  </cols>
  <sheetData>
    <row r="1" spans="1:15" ht="13.15" x14ac:dyDescent="0.4">
      <c r="A1" s="24" t="s">
        <v>56</v>
      </c>
      <c r="B1" s="1"/>
      <c r="C1" s="1"/>
      <c r="D1" s="1"/>
      <c r="E1" s="1"/>
      <c r="F1" s="1"/>
    </row>
    <row r="2" spans="1:15" x14ac:dyDescent="0.35">
      <c r="A2" s="1"/>
      <c r="B2" s="1"/>
      <c r="C2" s="1"/>
      <c r="D2" s="1"/>
      <c r="E2" s="1"/>
      <c r="F2" s="1"/>
    </row>
    <row r="3" spans="1:15" ht="13.15" thickBot="1" x14ac:dyDescent="0.4">
      <c r="A3" s="1" t="s">
        <v>49</v>
      </c>
      <c r="B3" s="1"/>
      <c r="C3" s="1"/>
      <c r="D3" s="1"/>
      <c r="E3" s="1"/>
      <c r="F3" s="1"/>
    </row>
    <row r="4" spans="1:15" x14ac:dyDescent="0.35">
      <c r="A4" s="2" t="s">
        <v>50</v>
      </c>
      <c r="B4" s="3" t="s">
        <v>51</v>
      </c>
      <c r="C4" s="3" t="s">
        <v>52</v>
      </c>
      <c r="D4" s="3" t="s">
        <v>53</v>
      </c>
      <c r="E4" s="3" t="s">
        <v>54</v>
      </c>
      <c r="F4" s="4" t="s">
        <v>55</v>
      </c>
    </row>
    <row r="5" spans="1:15" ht="13.15" thickBot="1" x14ac:dyDescent="0.4">
      <c r="A5" s="5">
        <v>1</v>
      </c>
      <c r="B5" s="6">
        <v>2</v>
      </c>
      <c r="C5" s="6">
        <v>3</v>
      </c>
      <c r="D5" s="6">
        <v>4</v>
      </c>
      <c r="E5" s="6">
        <v>5</v>
      </c>
      <c r="F5" s="7">
        <v>6</v>
      </c>
    </row>
    <row r="6" spans="1:15" x14ac:dyDescent="0.35">
      <c r="A6" s="1"/>
      <c r="B6" s="1"/>
      <c r="C6" s="1"/>
      <c r="D6" s="1"/>
      <c r="E6" s="1"/>
      <c r="F6" s="1"/>
    </row>
    <row r="7" spans="1:15" ht="14.25" x14ac:dyDescent="0.35">
      <c r="A7" s="8" t="s">
        <v>57</v>
      </c>
    </row>
    <row r="8" spans="1:15" ht="14.25" x14ac:dyDescent="0.35">
      <c r="A8" s="9" t="s">
        <v>58</v>
      </c>
    </row>
    <row r="9" spans="1:15" ht="14.25" x14ac:dyDescent="0.35">
      <c r="A9" s="10" t="s">
        <v>59</v>
      </c>
    </row>
    <row r="10" spans="1:15" ht="14.25" x14ac:dyDescent="0.35">
      <c r="A10" s="10" t="s">
        <v>60</v>
      </c>
    </row>
    <row r="11" spans="1:15" ht="14.25" x14ac:dyDescent="0.35">
      <c r="A11" s="14" t="s">
        <v>61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4.25" x14ac:dyDescent="0.35">
      <c r="A12" s="10" t="s">
        <v>62</v>
      </c>
    </row>
    <row r="13" spans="1:15" ht="14.25" x14ac:dyDescent="0.35">
      <c r="A13" s="10" t="s">
        <v>63</v>
      </c>
    </row>
    <row r="14" spans="1:15" ht="14.25" x14ac:dyDescent="0.35">
      <c r="A14" s="10" t="s">
        <v>64</v>
      </c>
    </row>
    <row r="15" spans="1:15" ht="14.25" x14ac:dyDescent="0.35">
      <c r="A15" s="12"/>
    </row>
    <row r="16" spans="1:15" ht="14.25" x14ac:dyDescent="0.35">
      <c r="A16" s="12" t="s">
        <v>5</v>
      </c>
    </row>
    <row r="17" spans="1:10" ht="14.25" x14ac:dyDescent="0.35">
      <c r="A17" s="13" t="s">
        <v>58</v>
      </c>
    </row>
    <row r="18" spans="1:10" ht="14.25" x14ac:dyDescent="0.35">
      <c r="A18" s="10" t="s">
        <v>65</v>
      </c>
    </row>
    <row r="19" spans="1:10" ht="14.25" x14ac:dyDescent="0.35">
      <c r="A19" s="10" t="s">
        <v>66</v>
      </c>
    </row>
    <row r="20" spans="1:10" ht="14.25" x14ac:dyDescent="0.35">
      <c r="A20" s="14" t="s">
        <v>67</v>
      </c>
      <c r="B20" s="15"/>
      <c r="C20" s="15"/>
      <c r="D20" s="15"/>
      <c r="E20" s="15"/>
      <c r="F20" s="15"/>
      <c r="G20" s="15"/>
      <c r="H20" s="15"/>
      <c r="I20" s="15"/>
    </row>
    <row r="21" spans="1:10" ht="14.25" x14ac:dyDescent="0.35">
      <c r="A21" s="10" t="s">
        <v>68</v>
      </c>
    </row>
    <row r="22" spans="1:10" ht="14.25" x14ac:dyDescent="0.35">
      <c r="A22" s="10" t="s">
        <v>69</v>
      </c>
    </row>
    <row r="23" spans="1:10" ht="14.25" x14ac:dyDescent="0.35">
      <c r="A23" s="10" t="s">
        <v>64</v>
      </c>
    </row>
    <row r="24" spans="1:10" ht="13.5" x14ac:dyDescent="0.35">
      <c r="A24" s="10"/>
    </row>
    <row r="25" spans="1:10" ht="14.25" x14ac:dyDescent="0.35">
      <c r="A25" s="12" t="s">
        <v>6</v>
      </c>
    </row>
    <row r="26" spans="1:10" ht="14.25" x14ac:dyDescent="0.35">
      <c r="A26" s="13" t="s">
        <v>70</v>
      </c>
    </row>
    <row r="27" spans="1:10" ht="14.25" x14ac:dyDescent="0.35">
      <c r="A27" s="10" t="s">
        <v>71</v>
      </c>
    </row>
    <row r="28" spans="1:10" ht="14.25" x14ac:dyDescent="0.35">
      <c r="A28" s="10" t="s">
        <v>72</v>
      </c>
    </row>
    <row r="29" spans="1:10" ht="14.25" x14ac:dyDescent="0.35">
      <c r="A29" s="14" t="s">
        <v>73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4.25" x14ac:dyDescent="0.35">
      <c r="A30" s="10" t="s">
        <v>74</v>
      </c>
    </row>
    <row r="31" spans="1:10" ht="14.25" x14ac:dyDescent="0.35">
      <c r="A31" s="14" t="s">
        <v>75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4.25" x14ac:dyDescent="0.35">
      <c r="A32" s="14" t="s">
        <v>76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1" ht="13.5" x14ac:dyDescent="0.35">
      <c r="A33" s="10"/>
    </row>
    <row r="34" spans="1:11" ht="14.25" x14ac:dyDescent="0.35">
      <c r="A34" s="12" t="s">
        <v>7</v>
      </c>
    </row>
    <row r="35" spans="1:11" ht="14.25" x14ac:dyDescent="0.35">
      <c r="A35" s="13" t="s">
        <v>70</v>
      </c>
    </row>
    <row r="36" spans="1:11" ht="14.25" x14ac:dyDescent="0.35">
      <c r="A36" s="14" t="s">
        <v>77</v>
      </c>
      <c r="B36" s="15"/>
      <c r="C36" s="15"/>
    </row>
    <row r="37" spans="1:11" ht="14.25" x14ac:dyDescent="0.35">
      <c r="A37" s="14" t="s">
        <v>78</v>
      </c>
      <c r="B37" s="15"/>
      <c r="C37" s="15"/>
    </row>
    <row r="38" spans="1:11" ht="14.25" x14ac:dyDescent="0.35">
      <c r="A38" s="14" t="s">
        <v>79</v>
      </c>
      <c r="B38" s="15"/>
      <c r="C38" s="15"/>
    </row>
    <row r="39" spans="1:11" ht="14.25" x14ac:dyDescent="0.35">
      <c r="A39" s="10" t="s">
        <v>80</v>
      </c>
    </row>
    <row r="40" spans="1:11" ht="14.25" x14ac:dyDescent="0.35">
      <c r="A40" s="10" t="s">
        <v>81</v>
      </c>
    </row>
    <row r="41" spans="1:11" ht="14.25" x14ac:dyDescent="0.35">
      <c r="A41" s="14" t="s">
        <v>82</v>
      </c>
      <c r="B41" s="15"/>
      <c r="C41" s="15"/>
    </row>
    <row r="42" spans="1:11" ht="13.5" x14ac:dyDescent="0.35">
      <c r="A42" s="10"/>
    </row>
    <row r="43" spans="1:11" ht="14.25" x14ac:dyDescent="0.35">
      <c r="A43" s="12" t="s">
        <v>8</v>
      </c>
    </row>
    <row r="44" spans="1:11" ht="14.25" x14ac:dyDescent="0.35">
      <c r="A44" s="13" t="s">
        <v>83</v>
      </c>
    </row>
    <row r="45" spans="1:11" ht="14.65" thickBot="1" x14ac:dyDescent="0.4">
      <c r="A45" s="11" t="s">
        <v>84</v>
      </c>
      <c r="B45">
        <f>200+E5*10+F5</f>
        <v>256</v>
      </c>
      <c r="C45" s="16" t="s">
        <v>85</v>
      </c>
      <c r="D45" s="17" t="s">
        <v>86</v>
      </c>
      <c r="E45">
        <f>3+F5/5</f>
        <v>4.2</v>
      </c>
      <c r="F45" s="16" t="s">
        <v>87</v>
      </c>
      <c r="G45" s="16" t="s">
        <v>88</v>
      </c>
      <c r="H45">
        <f>2+E5/10</f>
        <v>2.5</v>
      </c>
      <c r="I45" s="16" t="s">
        <v>89</v>
      </c>
    </row>
    <row r="46" spans="1:11" ht="14.65" thickBot="1" x14ac:dyDescent="0.45">
      <c r="A46" s="11" t="s">
        <v>90</v>
      </c>
      <c r="B46">
        <f>0.16*V/T</f>
        <v>9.7523809523809515</v>
      </c>
      <c r="C46" s="16" t="s">
        <v>91</v>
      </c>
      <c r="D46" s="16" t="s">
        <v>92</v>
      </c>
      <c r="E46">
        <f>2*PI()*d^2</f>
        <v>39.269908169872416</v>
      </c>
      <c r="F46" s="16" t="s">
        <v>91</v>
      </c>
      <c r="G46" s="18" t="s">
        <v>93</v>
      </c>
      <c r="I46" s="16"/>
      <c r="J46" s="19">
        <f>10*LOG10(1+4*S/A)</f>
        <v>12.331687341132344</v>
      </c>
      <c r="K46" s="20" t="s">
        <v>94</v>
      </c>
    </row>
    <row r="47" spans="1:11" ht="14.25" x14ac:dyDescent="0.35">
      <c r="A47" s="13"/>
    </row>
    <row r="48" spans="1:11" ht="14.25" x14ac:dyDescent="0.35">
      <c r="A48" s="12" t="s">
        <v>9</v>
      </c>
    </row>
    <row r="49" spans="1:15" ht="14.65" thickBot="1" x14ac:dyDescent="0.4">
      <c r="A49" s="13" t="s">
        <v>83</v>
      </c>
    </row>
    <row r="50" spans="1:15" ht="14.65" thickBot="1" x14ac:dyDescent="0.45">
      <c r="A50" s="11" t="s">
        <v>95</v>
      </c>
      <c r="B50">
        <f>0.16*V/1</f>
        <v>40.96</v>
      </c>
      <c r="C50" s="16" t="s">
        <v>91</v>
      </c>
      <c r="G50" s="18" t="s">
        <v>96</v>
      </c>
      <c r="J50" s="19">
        <f>10*LOG10(1+4*S/A_2)</f>
        <v>6.8439216417047097</v>
      </c>
      <c r="K50" s="20" t="s">
        <v>94</v>
      </c>
    </row>
    <row r="51" spans="1:15" ht="14.25" x14ac:dyDescent="0.35">
      <c r="A51" s="12"/>
    </row>
    <row r="52" spans="1:15" ht="14.25" x14ac:dyDescent="0.35">
      <c r="A52" s="12" t="s">
        <v>10</v>
      </c>
    </row>
    <row r="53" spans="1:15" ht="14.65" thickBot="1" x14ac:dyDescent="0.4">
      <c r="A53" s="13" t="s">
        <v>83</v>
      </c>
    </row>
    <row r="54" spans="1:15" ht="14.65" thickBot="1" x14ac:dyDescent="0.45">
      <c r="A54" s="11" t="s">
        <v>97</v>
      </c>
      <c r="B54">
        <f>30+E5</f>
        <v>35</v>
      </c>
      <c r="C54" s="16" t="s">
        <v>98</v>
      </c>
      <c r="H54" s="18" t="s">
        <v>99</v>
      </c>
      <c r="I54" s="18"/>
      <c r="J54" s="21">
        <f>60/decay</f>
        <v>1.7142857142857142</v>
      </c>
      <c r="K54" s="20" t="s">
        <v>87</v>
      </c>
    </row>
    <row r="55" spans="1:15" ht="14.25" x14ac:dyDescent="0.35">
      <c r="A55" s="12"/>
    </row>
    <row r="56" spans="1:15" ht="31.9" customHeight="1" x14ac:dyDescent="0.35">
      <c r="A56" s="22" t="s">
        <v>11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ht="14.25" x14ac:dyDescent="0.35">
      <c r="A57" s="13" t="s">
        <v>83</v>
      </c>
    </row>
    <row r="58" spans="1:15" x14ac:dyDescent="0.35">
      <c r="A58" s="16" t="s">
        <v>100</v>
      </c>
      <c r="B58">
        <f>20+E5*10</f>
        <v>70</v>
      </c>
      <c r="C58" s="16" t="s">
        <v>101</v>
      </c>
    </row>
    <row r="59" spans="1:15" x14ac:dyDescent="0.35">
      <c r="A59" s="16" t="s">
        <v>102</v>
      </c>
      <c r="B59">
        <v>20000</v>
      </c>
      <c r="C59" s="16" t="s">
        <v>101</v>
      </c>
    </row>
    <row r="60" spans="1:15" ht="13.15" thickBot="1" x14ac:dyDescent="0.4">
      <c r="A60" s="16" t="s">
        <v>103</v>
      </c>
      <c r="B60">
        <f>5+F5</f>
        <v>11</v>
      </c>
      <c r="C60" s="16" t="s">
        <v>87</v>
      </c>
    </row>
    <row r="61" spans="1:15" ht="13.5" thickBot="1" x14ac:dyDescent="0.45">
      <c r="A61" s="18" t="s">
        <v>104</v>
      </c>
      <c r="F61" s="19">
        <f>-84.4-20*LOG10(L/10)-1/3*10*LOG10(f_1/20)</f>
        <v>-87.041413850998765</v>
      </c>
      <c r="G61" s="20" t="s">
        <v>94</v>
      </c>
    </row>
  </sheetData>
  <mergeCells count="1">
    <mergeCell ref="A56:O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Form responses 1</vt:lpstr>
      <vt:lpstr>Solution</vt:lpstr>
      <vt:lpstr>A</vt:lpstr>
      <vt:lpstr>A_2</vt:lpstr>
      <vt:lpstr>d</vt:lpstr>
      <vt:lpstr>decay</vt:lpstr>
      <vt:lpstr>f_1</vt:lpstr>
      <vt:lpstr>L</vt:lpstr>
      <vt:lpstr>S</vt:lpstr>
      <vt:lpstr>T</vt:lpstr>
      <vt:lpstr>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created xsi:type="dcterms:W3CDTF">2020-10-20T11:18:56Z</dcterms:created>
  <dcterms:modified xsi:type="dcterms:W3CDTF">2020-10-26T11:44:00Z</dcterms:modified>
</cp:coreProperties>
</file>