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ina\Corsi\Applied-Acoustics\Tests-2021\"/>
    </mc:Choice>
  </mc:AlternateContent>
  <xr:revisionPtr revIDLastSave="0" documentId="13_ncr:1_{2A737A3B-74B3-4B62-A006-A321CE6BE4A6}" xr6:coauthVersionLast="47" xr6:coauthVersionMax="47" xr10:uidLastSave="{00000000-0000-0000-0000-000000000000}"/>
  <bookViews>
    <workbookView xWindow="-6720" yWindow="-11865" windowWidth="17280" windowHeight="10035" xr2:uid="{600ABB44-68BF-4E48-ABBA-39A1BE26FC6D}"/>
  </bookViews>
  <sheets>
    <sheet name="Solution" sheetId="1" r:id="rId1"/>
    <sheet name="Test-2021-10-25" sheetId="2" r:id="rId2"/>
  </sheets>
  <definedNames>
    <definedName name="A">Solution!$M$41</definedName>
    <definedName name="AA">Solution!$C$4</definedName>
    <definedName name="BB">Solution!$D$4</definedName>
    <definedName name="CC">Solution!$E$4</definedName>
    <definedName name="CR">Solution!$N$54</definedName>
    <definedName name="d">Solution!$I$32</definedName>
    <definedName name="dd">Solution!$I$40</definedName>
    <definedName name="DD_">Solution!$F$4</definedName>
    <definedName name="ddd">Solution!$K$54</definedName>
    <definedName name="delta">Solution!$L$55</definedName>
    <definedName name="EE">Solution!$G$4</definedName>
    <definedName name="FF">Solution!$H$4</definedName>
    <definedName name="heff">Solution!$K$53</definedName>
    <definedName name="Lw">Solution!$F$32</definedName>
    <definedName name="Lw_">Solution!$F$36</definedName>
    <definedName name="Q">Solution!$L$32</definedName>
    <definedName name="SC">Solution!$N$53</definedName>
    <definedName name="T">Solution!$I$41</definedName>
    <definedName name="V">Solution!$F$41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2" i="2" l="1"/>
  <c r="AC2" i="2"/>
  <c r="AV7" i="2"/>
  <c r="AV3" i="2"/>
  <c r="AV4" i="2"/>
  <c r="AV5" i="2"/>
  <c r="AV6" i="2"/>
  <c r="AV8" i="2"/>
  <c r="AV9" i="2"/>
  <c r="AV2" i="2"/>
  <c r="F36" i="1"/>
  <c r="H4" i="1"/>
  <c r="K54" i="1" s="1"/>
  <c r="G4" i="1"/>
  <c r="K53" i="1" s="1"/>
  <c r="F4" i="1"/>
  <c r="E52" i="1" s="1"/>
  <c r="E4" i="1"/>
  <c r="D52" i="1" s="1"/>
  <c r="D4" i="1"/>
  <c r="C52" i="1" s="1"/>
  <c r="C4" i="1"/>
  <c r="B52" i="1" s="1"/>
  <c r="AO3" i="2"/>
  <c r="AO4" i="2"/>
  <c r="AO5" i="2"/>
  <c r="AO6" i="2"/>
  <c r="AO7" i="2"/>
  <c r="AO8" i="2"/>
  <c r="AO9" i="2"/>
  <c r="AO2" i="2"/>
  <c r="T3" i="2"/>
  <c r="U3" i="2"/>
  <c r="V3" i="2"/>
  <c r="W3" i="2"/>
  <c r="X3" i="2"/>
  <c r="Y3" i="2"/>
  <c r="T4" i="2"/>
  <c r="U4" i="2"/>
  <c r="V4" i="2"/>
  <c r="W4" i="2"/>
  <c r="X4" i="2"/>
  <c r="Y4" i="2"/>
  <c r="T5" i="2"/>
  <c r="U5" i="2"/>
  <c r="V5" i="2"/>
  <c r="W5" i="2"/>
  <c r="X5" i="2"/>
  <c r="Y5" i="2"/>
  <c r="T6" i="2"/>
  <c r="U6" i="2"/>
  <c r="V6" i="2"/>
  <c r="W6" i="2"/>
  <c r="X6" i="2"/>
  <c r="Y6" i="2"/>
  <c r="T7" i="2"/>
  <c r="U7" i="2"/>
  <c r="V7" i="2"/>
  <c r="W7" i="2"/>
  <c r="X7" i="2"/>
  <c r="Y7" i="2"/>
  <c r="T8" i="2"/>
  <c r="U8" i="2"/>
  <c r="V8" i="2"/>
  <c r="W8" i="2"/>
  <c r="X8" i="2"/>
  <c r="Y8" i="2"/>
  <c r="T9" i="2"/>
  <c r="U9" i="2"/>
  <c r="V9" i="2"/>
  <c r="W9" i="2"/>
  <c r="X9" i="2"/>
  <c r="Y9" i="2"/>
  <c r="Y2" i="2"/>
  <c r="X2" i="2"/>
  <c r="W2" i="2"/>
  <c r="V2" i="2"/>
  <c r="U2" i="2"/>
  <c r="T2" i="2"/>
  <c r="M3" i="2"/>
  <c r="N3" i="2"/>
  <c r="O3" i="2"/>
  <c r="P3" i="2"/>
  <c r="Q3" i="2"/>
  <c r="R3" i="2"/>
  <c r="M4" i="2"/>
  <c r="N4" i="2"/>
  <c r="O4" i="2"/>
  <c r="P4" i="2"/>
  <c r="Q4" i="2"/>
  <c r="R4" i="2"/>
  <c r="M5" i="2"/>
  <c r="N5" i="2"/>
  <c r="O5" i="2"/>
  <c r="P5" i="2"/>
  <c r="Q5" i="2"/>
  <c r="R5" i="2"/>
  <c r="M6" i="2"/>
  <c r="N6" i="2"/>
  <c r="O6" i="2"/>
  <c r="P6" i="2"/>
  <c r="Q6" i="2"/>
  <c r="R6" i="2"/>
  <c r="M7" i="2"/>
  <c r="N7" i="2"/>
  <c r="O7" i="2"/>
  <c r="P7" i="2"/>
  <c r="Q7" i="2"/>
  <c r="R7" i="2"/>
  <c r="M8" i="2"/>
  <c r="N8" i="2"/>
  <c r="O8" i="2"/>
  <c r="P8" i="2"/>
  <c r="Q8" i="2"/>
  <c r="R8" i="2"/>
  <c r="M9" i="2"/>
  <c r="N9" i="2"/>
  <c r="O9" i="2"/>
  <c r="P9" i="2"/>
  <c r="Q9" i="2"/>
  <c r="R9" i="2"/>
  <c r="R2" i="2"/>
  <c r="Q2" i="2"/>
  <c r="P2" i="2"/>
  <c r="O2" i="2"/>
  <c r="N2" i="2"/>
  <c r="M2" i="2"/>
  <c r="F9" i="2"/>
  <c r="F8" i="2"/>
  <c r="F7" i="2"/>
  <c r="G7" i="2" s="1"/>
  <c r="F6" i="2"/>
  <c r="F5" i="2"/>
  <c r="F4" i="2"/>
  <c r="F3" i="2"/>
  <c r="F2" i="2"/>
  <c r="G2" i="2" s="1"/>
  <c r="F32" i="1" l="1"/>
  <c r="I32" i="1"/>
  <c r="I36" i="1"/>
  <c r="F40" i="1"/>
  <c r="F41" i="1"/>
  <c r="I41" i="1"/>
  <c r="I40" i="1"/>
  <c r="F52" i="1"/>
  <c r="G52" i="1"/>
  <c r="H2" i="2"/>
  <c r="I2" i="2" s="1"/>
  <c r="J2" i="2" s="1"/>
  <c r="G6" i="2"/>
  <c r="H6" i="2" s="1"/>
  <c r="H7" i="2"/>
  <c r="I7" i="2" s="1"/>
  <c r="G8" i="2"/>
  <c r="G5" i="2"/>
  <c r="H5" i="2" s="1"/>
  <c r="G3" i="2"/>
  <c r="G9" i="2"/>
  <c r="H9" i="2" s="1"/>
  <c r="G4" i="2"/>
  <c r="H4" i="2" s="1"/>
  <c r="H8" i="2" l="1"/>
  <c r="I8" i="2" s="1"/>
  <c r="I6" i="2"/>
  <c r="J6" i="2" s="1"/>
  <c r="K6" i="2" s="1"/>
  <c r="AK6" i="2" s="1"/>
  <c r="H3" i="2"/>
  <c r="I3" i="2" s="1"/>
  <c r="J7" i="2"/>
  <c r="K7" i="2" s="1"/>
  <c r="AK7" i="2" s="1"/>
  <c r="I4" i="2"/>
  <c r="J4" i="2" s="1"/>
  <c r="K2" i="2"/>
  <c r="I5" i="2"/>
  <c r="J5" i="2" s="1"/>
  <c r="I9" i="2"/>
  <c r="J9" i="2" s="1"/>
  <c r="K9" i="2" s="1"/>
  <c r="AK9" i="2" s="1"/>
  <c r="AG2" i="2" l="1"/>
  <c r="AC9" i="2"/>
  <c r="AG9" i="2"/>
  <c r="AC6" i="2"/>
  <c r="AG6" i="2"/>
  <c r="AC7" i="2"/>
  <c r="AG7" i="2"/>
  <c r="K5" i="2"/>
  <c r="AK5" i="2" s="1"/>
  <c r="J8" i="2"/>
  <c r="K8" i="2" s="1"/>
  <c r="AK8" i="2" s="1"/>
  <c r="K4" i="2"/>
  <c r="AK4" i="2" s="1"/>
  <c r="J3" i="2"/>
  <c r="K3" i="2" s="1"/>
  <c r="AK3" i="2" s="1"/>
  <c r="AC8" i="2" l="1"/>
  <c r="AG8" i="2"/>
  <c r="AC3" i="2"/>
  <c r="AG3" i="2"/>
  <c r="AC4" i="2"/>
  <c r="AG4" i="2"/>
  <c r="AC5" i="2"/>
  <c r="AG5" i="2"/>
  <c r="N53" i="1" l="1"/>
  <c r="N54" i="1" s="1"/>
  <c r="C53" i="1"/>
  <c r="D53" i="1"/>
  <c r="E53" i="1"/>
  <c r="F53" i="1"/>
  <c r="G53" i="1"/>
  <c r="B53" i="1"/>
  <c r="M41" i="1"/>
  <c r="H46" i="1" s="1"/>
  <c r="I37" i="1"/>
  <c r="I33" i="1"/>
  <c r="H53" i="1" l="1"/>
  <c r="H52" i="1" s="1"/>
  <c r="I42" i="1"/>
  <c r="L55" i="1"/>
  <c r="D54" i="1" l="1"/>
  <c r="D55" i="1" s="1"/>
  <c r="D56" i="1" s="1"/>
  <c r="D57" i="1" s="1"/>
  <c r="E54" i="1"/>
  <c r="E55" i="1" s="1"/>
  <c r="E56" i="1" s="1"/>
  <c r="E57" i="1" s="1"/>
  <c r="F54" i="1"/>
  <c r="F55" i="1" s="1"/>
  <c r="F56" i="1" s="1"/>
  <c r="F57" i="1" s="1"/>
  <c r="G54" i="1"/>
  <c r="G55" i="1" s="1"/>
  <c r="G56" i="1" s="1"/>
  <c r="G57" i="1" s="1"/>
  <c r="B54" i="1"/>
  <c r="B55" i="1" s="1"/>
  <c r="B56" i="1" s="1"/>
  <c r="B57" i="1" s="1"/>
  <c r="C54" i="1"/>
  <c r="C55" i="1" s="1"/>
  <c r="C56" i="1" s="1"/>
  <c r="C57" i="1" s="1"/>
  <c r="H57" i="1" l="1"/>
  <c r="H56" i="1" s="1"/>
  <c r="H5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Angelo Farina</author>
  </authors>
  <commentList>
    <comment ref="AC2" authorId="0" shapeId="0" xr:uid="{C0C7811D-092D-44F8-80F6-3906988C22BB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2" authorId="0" shapeId="0" xr:uid="{AFFBEF04-BD54-4427-B717-56A8ADEC238E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K2" authorId="0" shapeId="0" xr:uid="{98B48D83-33A8-4001-911B-2345EFDEE34D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O2" authorId="0" shapeId="0" xr:uid="{20C1053A-01E9-48AC-97D9-553B95B8CFB9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S2" authorId="0" shapeId="0" xr:uid="{1149EF4D-1113-42A5-8961-553A898124BC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<sst xmlns="http://schemas.openxmlformats.org/spreadsheetml/2006/main" count="267" uniqueCount="161">
  <si>
    <t>Applied Acoustics - In-class test - 25/10/2021</t>
  </si>
  <si>
    <t>Check the sentences you think are always TRUE</t>
  </si>
  <si>
    <t>(multiple answers allowed)</t>
  </si>
  <si>
    <r>
      <t>¨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In free field the sound pressure level decreases by 6 dB when the distance from the source is doubled</t>
    </r>
  </si>
  <si>
    <r>
      <t>¨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In free field the sound pressure level decreases by 3 dB when the distance from the source is doubled</t>
    </r>
  </si>
  <si>
    <r>
      <t>¨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In free field the sound pressure level decreases with distance according to a law which depends on the shape and size of the sound source</t>
    </r>
  </si>
  <si>
    <r>
      <t>¨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The SPL produced by a linear sound source decreases with distance more slowly than the SPL produced by a point source</t>
    </r>
  </si>
  <si>
    <r>
      <t>¨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The attenuation produced by an obstacle is frequency-independent, being governed only by its geometry</t>
    </r>
  </si>
  <si>
    <r>
      <t>¨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The attenuation produced by an obstacle is frequency-dependent, it depends strongly on the ratio between the size of the obstacle and the wavelength</t>
    </r>
  </si>
  <si>
    <t xml:space="preserve">The reverberation time of a room is reduced at half, by adding sound absorbing materials. </t>
  </si>
  <si>
    <t>Which of the following effects are true?</t>
  </si>
  <si>
    <r>
      <t>¨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The SPL of the reverberant field reduces by 6 dB</t>
    </r>
  </si>
  <si>
    <r>
      <t>¨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The SPL of the reverberant field reduces by 3 dB</t>
    </r>
  </si>
  <si>
    <r>
      <t>¨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The equivalent absorption area A doubles</t>
    </r>
  </si>
  <si>
    <r>
      <t>¨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The equivalent absorption area A quadruplicates</t>
    </r>
  </si>
  <si>
    <r>
      <t>¨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The critical distance doubles</t>
    </r>
  </si>
  <si>
    <r>
      <t>¨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The critical distance increases by a factor of 1.41</t>
    </r>
  </si>
  <si>
    <t>What is the meaning of "proximity effect"?</t>
  </si>
  <si>
    <t>(a single answer)</t>
  </si>
  <si>
    <r>
      <t>¡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It is the effect typical of the near field, where the reverberant field is negligible, hence the sound pressure level decays by 6 dB/doubling distance</t>
    </r>
  </si>
  <si>
    <r>
      <t>¡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It is the "pop" effect caused by the air flow emitted by the mouth and hitting a microphone, and which is avoided with an "anti pop" filter placed in front of the microphone.</t>
    </r>
  </si>
  <si>
    <r>
      <t>¡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It is the phase shift between pressure and particle velocity, which occurs close to a point source</t>
    </r>
  </si>
  <si>
    <r>
      <t>¡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It is the boost of the particle velocity level, which grows much more than the sound pressure level when going close to a sound source</t>
    </r>
  </si>
  <si>
    <r>
      <t>¡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It is the boost of the low frequency signal produced by a directive microphone placed close to a point source</t>
    </r>
  </si>
  <si>
    <r>
      <t>¡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It is the boost of the low frequency signal produced by an omnidirectional microphone placed close to a point source</t>
    </r>
  </si>
  <si>
    <t>Compute the SPL produced by an omnidirectional point source, having a power level Lw=100+F dB, placed just above a reflecting surface, at a distance of 10+E m.</t>
  </si>
  <si>
    <t>(write number and measurement unit)</t>
  </si>
  <si>
    <t>Compute the SPL produced by an linear, incoherent point source, having a specific power level Lw'=80+F dB/m, placed just above a reflecting surface, at a distance of 10+E m.</t>
  </si>
  <si>
    <t xml:space="preserve"> </t>
  </si>
  <si>
    <t>Compute the SPL produced by an omnidirectional point source, having a power level Lw=100+F dB, placed over the reflecting floor inside a large room having a volume V=200+EF m3 and a reverberation time T20=1+D/10 s, at a receiver located at a distance of 1+E/3 m.</t>
  </si>
  <si>
    <t xml:space="preserve">Compute the critical distance in the case of the previous exercise. </t>
  </si>
  <si>
    <t>The spectrum of the A-weighted power level Lwa of an omnidirectional point source is given here below in dB(A). The receiver is at a distance of 10+F meters. The reflection on the ground is negligible (highly absorbing soil, thick grass). Compute the attenuation in dB(A) produced by a noise screen inserted in the mid point between source and receiver, and having an effective height of 3+E/5 m.</t>
  </si>
  <si>
    <t>80+A</t>
  </si>
  <si>
    <t>75+B</t>
  </si>
  <si>
    <t>73+C</t>
  </si>
  <si>
    <t>70+D</t>
  </si>
  <si>
    <t>70+E</t>
  </si>
  <si>
    <t>70+F</t>
  </si>
  <si>
    <t>Lw =</t>
  </si>
  <si>
    <t>A</t>
  </si>
  <si>
    <t>B</t>
  </si>
  <si>
    <t>C</t>
  </si>
  <si>
    <t>D</t>
  </si>
  <si>
    <t>E</t>
  </si>
  <si>
    <t>F</t>
  </si>
  <si>
    <t>dB</t>
  </si>
  <si>
    <t>d =</t>
  </si>
  <si>
    <t>m</t>
  </si>
  <si>
    <t>Q =</t>
  </si>
  <si>
    <t>SPL = Lw -11 -20*log10(d) +10*log10(Q) =</t>
  </si>
  <si>
    <t>Lw' =</t>
  </si>
  <si>
    <t>dB/m</t>
  </si>
  <si>
    <t>SPL = Lw' -6 -10*log10(d) +10*log10(Q) =</t>
  </si>
  <si>
    <t>V =</t>
  </si>
  <si>
    <t>m3</t>
  </si>
  <si>
    <t>T20 =</t>
  </si>
  <si>
    <t>s</t>
  </si>
  <si>
    <t>dd =</t>
  </si>
  <si>
    <t>SPL = Lw+10*log10(Q/(4*pi*dd^2)+4/A) =</t>
  </si>
  <si>
    <t>A = 0.16*V/T =</t>
  </si>
  <si>
    <t>m2</t>
  </si>
  <si>
    <t>dcr = SQRT(Q*A/16/pi) =</t>
  </si>
  <si>
    <t>dB(A)</t>
  </si>
  <si>
    <t>SPL(A) =</t>
  </si>
  <si>
    <t>f (Hz)</t>
  </si>
  <si>
    <t>10^(Li/10)</t>
  </si>
  <si>
    <t>TOTAL</t>
  </si>
  <si>
    <t>without barrier</t>
  </si>
  <si>
    <t>ddd =</t>
  </si>
  <si>
    <t>S</t>
  </si>
  <si>
    <t>R</t>
  </si>
  <si>
    <t>delta = SC+CR-SR =</t>
  </si>
  <si>
    <t>heff</t>
  </si>
  <si>
    <t>CR =</t>
  </si>
  <si>
    <t>heff =</t>
  </si>
  <si>
    <t>SC =</t>
  </si>
  <si>
    <t>N = 2*delta/lambda = 2*delta*f/c0 = 2*delta*f/340</t>
  </si>
  <si>
    <t>N</t>
  </si>
  <si>
    <t>Maekawa' formula</t>
  </si>
  <si>
    <r>
      <t>D</t>
    </r>
    <r>
      <rPr>
        <b/>
        <sz val="12"/>
        <color rgb="FF000000"/>
        <rFont val="Times New Roman"/>
        <family val="1"/>
      </rPr>
      <t>L</t>
    </r>
    <r>
      <rPr>
        <vertAlign val="subscript"/>
        <sz val="12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 xml:space="preserve">= 10 log (3+20 N)           </t>
    </r>
  </si>
  <si>
    <t>DeltaL =</t>
  </si>
  <si>
    <t>SPLb(A) =</t>
  </si>
  <si>
    <t>Barrier attenuation =</t>
  </si>
  <si>
    <t>15.7 dB (A)</t>
  </si>
  <si>
    <t>1.2 m</t>
  </si>
  <si>
    <t>99.24 dB</t>
  </si>
  <si>
    <t>73.22 dB</t>
  </si>
  <si>
    <t>77.43 dB</t>
  </si>
  <si>
    <t>It is the boost of the low frequency signal produced by a directive microphone placed close to a point source</t>
  </si>
  <si>
    <t>The SPL of the reverberant field reduces by 3 dB, The equivalent absorption area A doubles, The critical distance increases by a factor of 1.41</t>
  </si>
  <si>
    <t>In free field the sound pressure level decreases with  distance according to a law which depends on the shape and size of the sound source, The SPL produced by a linear sound source decades with distance more slowly than the SPL produced by a point source, The attenuation produced by an obstacle is frequency-dependent, it depends strongly on the ratio between the size of the obstacle and the wavelength</t>
  </si>
  <si>
    <t>Feher Francesco</t>
  </si>
  <si>
    <t>francesco.feher@studenti.unipr.it</t>
  </si>
  <si>
    <t>25.2 db(A)</t>
  </si>
  <si>
    <t>0.977 m</t>
  </si>
  <si>
    <t>92.577 dB</t>
  </si>
  <si>
    <t>61.996 dB</t>
  </si>
  <si>
    <t>64.39 dB</t>
  </si>
  <si>
    <t>Miccoli Leonardo</t>
  </si>
  <si>
    <t>leonardo.miccoli@studenti.unipr.it</t>
  </si>
  <si>
    <t>19.1 dB(A)</t>
  </si>
  <si>
    <t>0.98 m</t>
  </si>
  <si>
    <t>100.73 dB</t>
  </si>
  <si>
    <t>70.54 dB</t>
  </si>
  <si>
    <t>76.48 dB</t>
  </si>
  <si>
    <t>Mazzara Natalia</t>
  </si>
  <si>
    <t>nataliateresa.mazzara@studenti.unipr.it</t>
  </si>
  <si>
    <t>23,9 dB(A)</t>
  </si>
  <si>
    <t>1.135 m</t>
  </si>
  <si>
    <t>94.5 dB</t>
  </si>
  <si>
    <t>64.96 dB</t>
  </si>
  <si>
    <t>70.92 dB</t>
  </si>
  <si>
    <t>In free field the sound pressure level decreases by 6 dB when the distance from the source is doubled, The SPL produced by a linear sound source decades with distance more slowly than the SPL produced by a point source, The attenuation produced by an obstacle is frequency-dependent, it depends strongly on the ratio between the size of the obstacle and the wavelength</t>
  </si>
  <si>
    <t>Maffoni Marco</t>
  </si>
  <si>
    <t>marco.maffoni@studenti.unipr.it</t>
  </si>
  <si>
    <t>15.3 dB(A)</t>
  </si>
  <si>
    <t>0.828781 m</t>
  </si>
  <si>
    <t>100.9 dB</t>
  </si>
  <si>
    <t>72 dB</t>
  </si>
  <si>
    <t>77 dB</t>
  </si>
  <si>
    <t>D'Agruma Felice</t>
  </si>
  <si>
    <t>felice.dagruma@studenti.unipr.it</t>
  </si>
  <si>
    <t>17.5 dB(A)</t>
  </si>
  <si>
    <t>0.93 m</t>
  </si>
  <si>
    <t>98.8 dB</t>
  </si>
  <si>
    <t>70.5 dB</t>
  </si>
  <si>
    <t>74 dB</t>
  </si>
  <si>
    <t>The SPL produced by a linear sound source decades with distance more slowly than the SPL produced by a point source, The attenuation produced by an obstacle is frequency-dependent, it depends strongly on the ratio between the size of the obstacle and the wavelength</t>
  </si>
  <si>
    <t>Cobianchi Matteo</t>
  </si>
  <si>
    <t>matteo.cobianchi@studenti.unipr.it</t>
  </si>
  <si>
    <t>69.5 dB</t>
  </si>
  <si>
    <t>74.1 dB</t>
  </si>
  <si>
    <t>It is the boost of the low frequency signal produced by an omnidirectional microphone placed close to a point source</t>
  </si>
  <si>
    <t>The equivalent absorption area A doubles</t>
  </si>
  <si>
    <t>In free field the sound pressure level decreases with  distance according to a law which depends on the shape and size of the sound source, The SPL produced by a linear sound source decades with distance more slowly than the SPL produced by a point source</t>
  </si>
  <si>
    <t>Ambu Davide</t>
  </si>
  <si>
    <t>davide.ambu@studenti.unipr.it</t>
  </si>
  <si>
    <t>18.83 dbA</t>
  </si>
  <si>
    <t>1.0445 m</t>
  </si>
  <si>
    <t>104.97 dB</t>
  </si>
  <si>
    <t>64.44 dB</t>
  </si>
  <si>
    <t>79.9 dB</t>
  </si>
  <si>
    <t>The SPL of the reverberant field reduces by 3 dB, The equivalent absorption area A doubles</t>
  </si>
  <si>
    <t>Teodoro Giuseppe</t>
  </si>
  <si>
    <t>giuseppe.teodoro@studenti.unipr.it</t>
  </si>
  <si>
    <t xml:space="preserve">The spectrum of the A-weighted power level Lwa of an omnidirectional point source is given here below in dB(A). The receiver is at a distance of 10+F meters. The reflection on the ground is negligible (highly absorbing soil, thick grass). Compute the attenuation in dB(A) produced by a noise screen inserted in the mid point between source and receiver, and having an effective height of 3+E/5 m. </t>
  </si>
  <si>
    <t>Compute the critical distance in the case of the previous exercise.</t>
  </si>
  <si>
    <t xml:space="preserve">Compute the SPL produced by an omnidirectional point source, having a power level Lw=100+F dB, placed over the reflecting floor inside a large room having a volume V=200+EF m3 and a reverberation time T20=1+D/10 s, at a receiver located at a distance of 1+E/3 m. </t>
  </si>
  <si>
    <t xml:space="preserve">Compute the SPL produced by a linear, incoherent point source, having a specific power level Lw'=80+F dB/m, placed just above a reflecting surface, at a distance of 10+E m. </t>
  </si>
  <si>
    <t xml:space="preserve">Compute the SPL produced by an omnidirectional point source, having a power level Lw=100+F dB, placed just above a reflecting surface, at a distance of 10+E m. </t>
  </si>
  <si>
    <t>What is the meaning of "proximity effect" ?</t>
  </si>
  <si>
    <t>The reverberation time of a room is reduced at half, by adding sound absorbing materials. Which of the following effects are true?</t>
  </si>
  <si>
    <t>Check the sentences you think are TRUE</t>
  </si>
  <si>
    <t>Matricula</t>
  </si>
  <si>
    <t>Surname and Name</t>
  </si>
  <si>
    <t>Email address</t>
  </si>
  <si>
    <t>Timestamp</t>
  </si>
  <si>
    <t>N.</t>
  </si>
  <si>
    <t>Score</t>
  </si>
  <si>
    <t>OK Value</t>
  </si>
  <si>
    <t>OK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</si>
</sst>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m/d/yyyy\ h:mm:ss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02124"/>
      <name val="Wingdings"/>
      <charset val="2"/>
    </font>
    <font>
      <sz val="7"/>
      <color rgb="FF202124"/>
      <name val="Times New Roman"/>
      <family val="1"/>
    </font>
    <font>
      <sz val="11"/>
      <color rgb="FF202124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b/>
      <sz val="11"/>
      <color rgb="FF202124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Symbol"/>
      <family val="1"/>
      <charset val="2"/>
    </font>
    <font>
      <b/>
      <sz val="12"/>
      <color rgb="FF000000"/>
      <name val="Times New Roman"/>
      <family val="1"/>
    </font>
    <font>
      <vertAlign val="subscript"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Arial"/>
    </font>
    <font>
      <sz val="10"/>
      <color theme="1"/>
      <name val="Arial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4" fillId="0" borderId="0"/>
  </cellStyleXfs>
  <cellXfs count="6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indent="5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indent="5"/>
    </xf>
    <xf numFmtId="0" fontId="0" fillId="2" borderId="0" xfId="0" applyFill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4" fontId="1" fillId="0" borderId="0" xfId="0" applyNumberFormat="1" applyFont="1"/>
    <xf numFmtId="164" fontId="1" fillId="2" borderId="11" xfId="0" applyNumberFormat="1" applyFont="1" applyFill="1" applyBorder="1"/>
    <xf numFmtId="0" fontId="1" fillId="2" borderId="12" xfId="0" applyFont="1" applyFill="1" applyBorder="1"/>
    <xf numFmtId="165" fontId="0" fillId="2" borderId="13" xfId="0" applyNumberFormat="1" applyFill="1" applyBorder="1"/>
    <xf numFmtId="0" fontId="0" fillId="2" borderId="2" xfId="0" applyFill="1" applyBorder="1"/>
    <xf numFmtId="0" fontId="9" fillId="0" borderId="0" xfId="0" applyFont="1" applyAlignment="1">
      <alignment horizontal="right" vertical="center"/>
    </xf>
    <xf numFmtId="0" fontId="0" fillId="0" borderId="0" xfId="0" quotePrefix="1"/>
    <xf numFmtId="0" fontId="0" fillId="0" borderId="14" xfId="0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0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vertical="center" wrapText="1"/>
    </xf>
    <xf numFmtId="0" fontId="14" fillId="0" borderId="0" xfId="1"/>
    <xf numFmtId="0" fontId="16" fillId="0" borderId="15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15" xfId="0" applyBorder="1" applyAlignment="1">
      <alignment horizontal="center"/>
    </xf>
    <xf numFmtId="2" fontId="0" fillId="0" borderId="15" xfId="0" applyNumberFormat="1" applyBorder="1"/>
    <xf numFmtId="0" fontId="0" fillId="0" borderId="15" xfId="0" applyBorder="1"/>
    <xf numFmtId="0" fontId="0" fillId="3" borderId="6" xfId="0" applyFill="1" applyBorder="1" applyAlignment="1">
      <alignment horizontal="left"/>
    </xf>
    <xf numFmtId="164" fontId="0" fillId="0" borderId="15" xfId="0" applyNumberFormat="1" applyBorder="1"/>
    <xf numFmtId="0" fontId="1" fillId="3" borderId="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4" fillId="0" borderId="17" xfId="1" applyBorder="1" applyAlignment="1">
      <alignment horizontal="center"/>
    </xf>
    <xf numFmtId="166" fontId="15" fillId="0" borderId="15" xfId="1" applyNumberFormat="1" applyFont="1" applyBorder="1" applyAlignment="1">
      <alignment horizontal="center"/>
    </xf>
    <xf numFmtId="0" fontId="15" fillId="0" borderId="15" xfId="1" applyFont="1" applyBorder="1"/>
    <xf numFmtId="0" fontId="14" fillId="0" borderId="15" xfId="1" applyBorder="1"/>
    <xf numFmtId="0" fontId="14" fillId="0" borderId="8" xfId="1" applyBorder="1" applyAlignment="1">
      <alignment horizontal="center"/>
    </xf>
    <xf numFmtId="166" fontId="15" fillId="0" borderId="9" xfId="1" applyNumberFormat="1" applyFont="1" applyBorder="1" applyAlignment="1">
      <alignment horizontal="center"/>
    </xf>
    <xf numFmtId="0" fontId="15" fillId="0" borderId="9" xfId="1" applyFont="1" applyBorder="1"/>
    <xf numFmtId="2" fontId="0" fillId="0" borderId="9" xfId="0" applyNumberFormat="1" applyBorder="1"/>
    <xf numFmtId="0" fontId="0" fillId="0" borderId="9" xfId="0" applyBorder="1"/>
    <xf numFmtId="164" fontId="0" fillId="0" borderId="9" xfId="0" applyNumberFormat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5" fillId="0" borderId="15" xfId="1" applyFont="1" applyBorder="1" applyAlignment="1">
      <alignment horizontal="center"/>
    </xf>
    <xf numFmtId="0" fontId="15" fillId="0" borderId="9" xfId="1" applyFont="1" applyBorder="1" applyAlignment="1">
      <alignment horizontal="center"/>
    </xf>
  </cellXfs>
  <cellStyles count="2">
    <cellStyle name="Normal" xfId="0" builtinId="0"/>
    <cellStyle name="Normal 2" xfId="1" xr:uid="{ACFF2A01-4054-4DD5-A46F-498618231E19}"/>
  </cellStyles>
  <dxfs count="84"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43</xdr:row>
          <xdr:rowOff>9525</xdr:rowOff>
        </xdr:from>
        <xdr:to>
          <xdr:col>14</xdr:col>
          <xdr:colOff>57150</xdr:colOff>
          <xdr:row>46</xdr:row>
          <xdr:rowOff>85725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9</xdr:col>
      <xdr:colOff>38100</xdr:colOff>
      <xdr:row>61</xdr:row>
      <xdr:rowOff>136072</xdr:rowOff>
    </xdr:from>
    <xdr:to>
      <xdr:col>14</xdr:col>
      <xdr:colOff>244928</xdr:colOff>
      <xdr:row>62</xdr:row>
      <xdr:rowOff>54429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655129" y="12964886"/>
          <a:ext cx="3254828" cy="10341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244928</xdr:colOff>
      <xdr:row>59</xdr:row>
      <xdr:rowOff>157843</xdr:rowOff>
    </xdr:from>
    <xdr:to>
      <xdr:col>9</xdr:col>
      <xdr:colOff>370114</xdr:colOff>
      <xdr:row>60</xdr:row>
      <xdr:rowOff>103414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861957" y="12616543"/>
          <a:ext cx="125186" cy="1306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13</xdr:col>
      <xdr:colOff>304800</xdr:colOff>
      <xdr:row>59</xdr:row>
      <xdr:rowOff>136071</xdr:rowOff>
    </xdr:from>
    <xdr:to>
      <xdr:col>13</xdr:col>
      <xdr:colOff>429986</xdr:colOff>
      <xdr:row>60</xdr:row>
      <xdr:rowOff>81642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360229" y="12594771"/>
          <a:ext cx="125186" cy="13062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266699</xdr:colOff>
      <xdr:row>56</xdr:row>
      <xdr:rowOff>16328</xdr:rowOff>
    </xdr:from>
    <xdr:to>
      <xdr:col>11</xdr:col>
      <xdr:colOff>342899</xdr:colOff>
      <xdr:row>61</xdr:row>
      <xdr:rowOff>130629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102928" y="11919857"/>
          <a:ext cx="76200" cy="1039586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351781</xdr:colOff>
      <xdr:row>60</xdr:row>
      <xdr:rowOff>16328</xdr:rowOff>
    </xdr:from>
    <xdr:to>
      <xdr:col>13</xdr:col>
      <xdr:colOff>304800</xdr:colOff>
      <xdr:row>60</xdr:row>
      <xdr:rowOff>30018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>
          <a:endCxn id="10" idx="2"/>
        </xdr:cNvCxnSpPr>
      </xdr:nvCxnSpPr>
      <xdr:spPr>
        <a:xfrm flipV="1">
          <a:off x="5968810" y="12660085"/>
          <a:ext cx="2391419" cy="1369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286467</xdr:colOff>
      <xdr:row>56</xdr:row>
      <xdr:rowOff>16328</xdr:rowOff>
    </xdr:from>
    <xdr:to>
      <xdr:col>11</xdr:col>
      <xdr:colOff>304799</xdr:colOff>
      <xdr:row>60</xdr:row>
      <xdr:rowOff>35461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>
          <a:endCxn id="9" idx="0"/>
        </xdr:cNvCxnSpPr>
      </xdr:nvCxnSpPr>
      <xdr:spPr>
        <a:xfrm flipV="1">
          <a:off x="5903496" y="11919857"/>
          <a:ext cx="1237532" cy="75936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319124</xdr:colOff>
      <xdr:row>56</xdr:row>
      <xdr:rowOff>24575</xdr:rowOff>
    </xdr:from>
    <xdr:to>
      <xdr:col>13</xdr:col>
      <xdr:colOff>277585</xdr:colOff>
      <xdr:row>59</xdr:row>
      <xdr:rowOff>130629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7155353" y="11928104"/>
          <a:ext cx="1177661" cy="6612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4BBB2-4037-4642-AE53-6A13D162616B}">
  <dimension ref="A1:P64"/>
  <sheetViews>
    <sheetView tabSelected="1" zoomScale="140" zoomScaleNormal="140" workbookViewId="0"/>
  </sheetViews>
  <sheetFormatPr defaultRowHeight="14.25" x14ac:dyDescent="0.45"/>
  <cols>
    <col min="1" max="1" width="10" customWidth="1"/>
    <col min="8" max="8" width="9.6640625" customWidth="1"/>
  </cols>
  <sheetData>
    <row r="1" spans="1:16" x14ac:dyDescent="0.45">
      <c r="A1" s="1" t="s">
        <v>0</v>
      </c>
    </row>
    <row r="2" spans="1:16" ht="14.65" thickBot="1" x14ac:dyDescent="0.5">
      <c r="A2" s="1"/>
    </row>
    <row r="3" spans="1:16" x14ac:dyDescent="0.45">
      <c r="B3" s="1" t="s">
        <v>153</v>
      </c>
      <c r="C3" s="15" t="s">
        <v>39</v>
      </c>
      <c r="D3" s="16" t="s">
        <v>40</v>
      </c>
      <c r="E3" s="16" t="s">
        <v>41</v>
      </c>
      <c r="F3" s="16" t="s">
        <v>42</v>
      </c>
      <c r="G3" s="16" t="s">
        <v>43</v>
      </c>
      <c r="H3" s="17" t="s">
        <v>44</v>
      </c>
    </row>
    <row r="4" spans="1:16" ht="14.65" thickBot="1" x14ac:dyDescent="0.5">
      <c r="A4" s="58" t="s">
        <v>157</v>
      </c>
      <c r="B4" s="57">
        <v>1</v>
      </c>
      <c r="C4" s="18">
        <f>VLOOKUP(Solution!$B$4,'Test-2021-10-25'!$A$2:$K$9,6)</f>
        <v>3</v>
      </c>
      <c r="D4" s="19">
        <f>VLOOKUP(Solution!$B$4,'Test-2021-10-25'!$A$2:$K$9,7)</f>
        <v>2</v>
      </c>
      <c r="E4" s="19">
        <f>VLOOKUP(Solution!$B$4,'Test-2021-10-25'!$A$2:$K$9,8)</f>
        <v>2</v>
      </c>
      <c r="F4" s="19">
        <f>VLOOKUP(Solution!$B$4,'Test-2021-10-25'!$A$2:$K$9,9)</f>
        <v>6</v>
      </c>
      <c r="G4" s="19">
        <f>VLOOKUP(Solution!$B$4,'Test-2021-10-25'!$A$2:$K$9,10)</f>
        <v>8</v>
      </c>
      <c r="H4" s="20">
        <f>VLOOKUP(Solution!$B$4,'Test-2021-10-25'!$A$2:$K$9,11)</f>
        <v>3</v>
      </c>
    </row>
    <row r="5" spans="1:16" ht="13.8" customHeight="1" x14ac:dyDescent="0.45"/>
    <row r="6" spans="1:16" x14ac:dyDescent="0.45">
      <c r="A6" s="3" t="s">
        <v>1</v>
      </c>
      <c r="J6" s="2" t="s">
        <v>2</v>
      </c>
    </row>
    <row r="7" spans="1:16" x14ac:dyDescent="0.45">
      <c r="A7" s="4" t="s">
        <v>3</v>
      </c>
    </row>
    <row r="8" spans="1:16" x14ac:dyDescent="0.45">
      <c r="A8" s="4" t="s">
        <v>4</v>
      </c>
    </row>
    <row r="9" spans="1:16" x14ac:dyDescent="0.45">
      <c r="A9" s="12" t="s">
        <v>5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6" x14ac:dyDescent="0.45">
      <c r="A10" s="12" t="s">
        <v>6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45">
      <c r="A11" s="4" t="s">
        <v>7</v>
      </c>
    </row>
    <row r="12" spans="1:16" x14ac:dyDescent="0.45">
      <c r="A12" s="12" t="s">
        <v>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1:16" x14ac:dyDescent="0.45">
      <c r="A13" s="5"/>
    </row>
    <row r="14" spans="1:16" x14ac:dyDescent="0.45">
      <c r="A14" s="3" t="s">
        <v>9</v>
      </c>
    </row>
    <row r="15" spans="1:16" x14ac:dyDescent="0.45">
      <c r="A15" s="3" t="s">
        <v>10</v>
      </c>
      <c r="J15" s="2" t="s">
        <v>2</v>
      </c>
    </row>
    <row r="16" spans="1:16" x14ac:dyDescent="0.45">
      <c r="A16" s="4" t="s">
        <v>11</v>
      </c>
    </row>
    <row r="17" spans="1:12" x14ac:dyDescent="0.45">
      <c r="A17" s="12" t="s">
        <v>12</v>
      </c>
      <c r="B17" s="13"/>
      <c r="C17" s="13"/>
      <c r="D17" s="13"/>
      <c r="E17" s="13"/>
      <c r="F17" s="13"/>
      <c r="G17" s="13"/>
    </row>
    <row r="18" spans="1:12" x14ac:dyDescent="0.45">
      <c r="A18" s="12" t="s">
        <v>13</v>
      </c>
      <c r="B18" s="13"/>
      <c r="C18" s="13"/>
      <c r="D18" s="13"/>
      <c r="E18" s="13"/>
      <c r="F18" s="13"/>
      <c r="G18" s="13"/>
    </row>
    <row r="19" spans="1:12" x14ac:dyDescent="0.45">
      <c r="A19" s="4" t="s">
        <v>14</v>
      </c>
    </row>
    <row r="20" spans="1:12" x14ac:dyDescent="0.45">
      <c r="A20" s="4" t="s">
        <v>15</v>
      </c>
    </row>
    <row r="21" spans="1:12" x14ac:dyDescent="0.45">
      <c r="A21" s="12" t="s">
        <v>16</v>
      </c>
      <c r="B21" s="13"/>
      <c r="C21" s="13"/>
      <c r="D21" s="13"/>
      <c r="E21" s="13"/>
      <c r="F21" s="13"/>
      <c r="G21" s="13"/>
    </row>
    <row r="22" spans="1:12" x14ac:dyDescent="0.45">
      <c r="A22" s="6"/>
    </row>
    <row r="23" spans="1:12" x14ac:dyDescent="0.45">
      <c r="A23" s="3" t="s">
        <v>17</v>
      </c>
      <c r="J23" s="2" t="s">
        <v>18</v>
      </c>
    </row>
    <row r="24" spans="1:12" x14ac:dyDescent="0.45">
      <c r="A24" s="4" t="s">
        <v>19</v>
      </c>
    </row>
    <row r="25" spans="1:12" x14ac:dyDescent="0.45">
      <c r="A25" s="4" t="s">
        <v>20</v>
      </c>
    </row>
    <row r="26" spans="1:12" x14ac:dyDescent="0.45">
      <c r="A26" s="4" t="s">
        <v>21</v>
      </c>
    </row>
    <row r="27" spans="1:12" x14ac:dyDescent="0.45">
      <c r="A27" s="4" t="s">
        <v>22</v>
      </c>
    </row>
    <row r="28" spans="1:12" x14ac:dyDescent="0.45">
      <c r="A28" s="12" t="s">
        <v>23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1:12" x14ac:dyDescent="0.45">
      <c r="A29" s="4" t="s">
        <v>24</v>
      </c>
    </row>
    <row r="30" spans="1:12" x14ac:dyDescent="0.45">
      <c r="A30" s="7"/>
    </row>
    <row r="31" spans="1:12" ht="32.450000000000003" customHeight="1" x14ac:dyDescent="0.45">
      <c r="A31" s="33" t="s">
        <v>25</v>
      </c>
      <c r="B31" s="32"/>
      <c r="C31" s="32"/>
      <c r="D31" s="32"/>
      <c r="E31" s="32"/>
      <c r="F31" s="32"/>
      <c r="G31" s="32"/>
      <c r="H31" s="32"/>
      <c r="I31" s="32"/>
      <c r="J31" s="32"/>
    </row>
    <row r="32" spans="1:12" x14ac:dyDescent="0.45">
      <c r="A32" s="2" t="s">
        <v>26</v>
      </c>
      <c r="E32" t="s">
        <v>38</v>
      </c>
      <c r="F32">
        <f>100+FF</f>
        <v>103</v>
      </c>
      <c r="G32" t="s">
        <v>45</v>
      </c>
      <c r="H32" t="s">
        <v>46</v>
      </c>
      <c r="I32">
        <f>10+EE</f>
        <v>18</v>
      </c>
      <c r="J32" t="s">
        <v>47</v>
      </c>
      <c r="K32" t="s">
        <v>48</v>
      </c>
      <c r="L32">
        <v>2</v>
      </c>
    </row>
    <row r="33" spans="1:14" x14ac:dyDescent="0.45">
      <c r="A33" s="3"/>
      <c r="E33" t="s">
        <v>49</v>
      </c>
      <c r="I33" s="22">
        <f>Lw-11-20*LOG10(d)+10*LOG10(Q)</f>
        <v>69.904849854573683</v>
      </c>
      <c r="J33" s="23" t="s">
        <v>45</v>
      </c>
    </row>
    <row r="34" spans="1:14" x14ac:dyDescent="0.45">
      <c r="A34" s="3"/>
    </row>
    <row r="35" spans="1:14" ht="33" customHeight="1" x14ac:dyDescent="0.45">
      <c r="A35" s="31" t="s">
        <v>27</v>
      </c>
      <c r="B35" s="32"/>
      <c r="C35" s="32"/>
      <c r="D35" s="32"/>
      <c r="E35" s="32"/>
      <c r="F35" s="32"/>
      <c r="G35" s="32"/>
      <c r="H35" s="32"/>
      <c r="I35" s="32"/>
      <c r="J35" s="32"/>
    </row>
    <row r="36" spans="1:14" x14ac:dyDescent="0.45">
      <c r="A36" s="2" t="s">
        <v>26</v>
      </c>
      <c r="E36" t="s">
        <v>50</v>
      </c>
      <c r="F36">
        <f>80+FF</f>
        <v>83</v>
      </c>
      <c r="G36" t="s">
        <v>51</v>
      </c>
      <c r="H36" t="s">
        <v>46</v>
      </c>
      <c r="I36">
        <f>10+EE</f>
        <v>18</v>
      </c>
      <c r="J36" t="s">
        <v>47</v>
      </c>
      <c r="K36" t="s">
        <v>48</v>
      </c>
      <c r="L36">
        <v>2</v>
      </c>
    </row>
    <row r="37" spans="1:14" x14ac:dyDescent="0.45">
      <c r="E37" t="s">
        <v>52</v>
      </c>
      <c r="I37" s="22">
        <f>Lw_-6-10*LOG10(d)+10*LOG10(Q)</f>
        <v>67.457574905606748</v>
      </c>
      <c r="J37" s="23" t="s">
        <v>45</v>
      </c>
    </row>
    <row r="38" spans="1:14" x14ac:dyDescent="0.45">
      <c r="A38" s="2" t="s">
        <v>28</v>
      </c>
    </row>
    <row r="39" spans="1:14" ht="46.25" customHeight="1" x14ac:dyDescent="0.45">
      <c r="A39" s="31" t="s">
        <v>29</v>
      </c>
      <c r="B39" s="32"/>
      <c r="C39" s="32"/>
      <c r="D39" s="32"/>
      <c r="E39" s="32"/>
      <c r="F39" s="32"/>
      <c r="G39" s="32"/>
      <c r="H39" s="32"/>
      <c r="I39" s="32"/>
      <c r="J39" s="32"/>
    </row>
    <row r="40" spans="1:14" x14ac:dyDescent="0.45">
      <c r="A40" s="2" t="s">
        <v>26</v>
      </c>
      <c r="E40" t="s">
        <v>38</v>
      </c>
      <c r="F40">
        <f>100+FF</f>
        <v>103</v>
      </c>
      <c r="G40" t="s">
        <v>45</v>
      </c>
      <c r="H40" t="s">
        <v>57</v>
      </c>
      <c r="I40">
        <f>1+EE/3</f>
        <v>3.6666666666666665</v>
      </c>
      <c r="J40" t="s">
        <v>47</v>
      </c>
      <c r="K40" t="s">
        <v>48</v>
      </c>
      <c r="L40">
        <v>2</v>
      </c>
    </row>
    <row r="41" spans="1:14" x14ac:dyDescent="0.45">
      <c r="A41" s="2"/>
      <c r="E41" t="s">
        <v>53</v>
      </c>
      <c r="F41">
        <f>200+10*EE+FF</f>
        <v>283</v>
      </c>
      <c r="G41" t="s">
        <v>54</v>
      </c>
      <c r="H41" t="s">
        <v>55</v>
      </c>
      <c r="I41">
        <f>1+DD_/10</f>
        <v>1.6</v>
      </c>
      <c r="J41" t="s">
        <v>56</v>
      </c>
      <c r="K41" t="s">
        <v>59</v>
      </c>
      <c r="M41">
        <f>0.16*V/T</f>
        <v>28.3</v>
      </c>
      <c r="N41" t="s">
        <v>60</v>
      </c>
    </row>
    <row r="42" spans="1:14" x14ac:dyDescent="0.45">
      <c r="A42" s="2"/>
      <c r="E42" t="s">
        <v>58</v>
      </c>
      <c r="I42" s="22">
        <f>Lw+10*LOG10(Q/(4*PI()*dd^2)+4/A)</f>
        <v>94.852041268131075</v>
      </c>
      <c r="J42" s="23" t="s">
        <v>45</v>
      </c>
    </row>
    <row r="43" spans="1:14" x14ac:dyDescent="0.45">
      <c r="A43" s="3"/>
    </row>
    <row r="44" spans="1:14" x14ac:dyDescent="0.45">
      <c r="A44" s="3" t="s">
        <v>30</v>
      </c>
    </row>
    <row r="45" spans="1:14" ht="14.65" thickBot="1" x14ac:dyDescent="0.5">
      <c r="A45" s="2" t="s">
        <v>26</v>
      </c>
    </row>
    <row r="46" spans="1:14" ht="14.65" thickBot="1" x14ac:dyDescent="0.5">
      <c r="A46" s="2"/>
      <c r="E46" t="s">
        <v>61</v>
      </c>
      <c r="H46" s="24">
        <f>SQRT(Q*A/16/PI())</f>
        <v>1.0611414714236549</v>
      </c>
      <c r="I46" s="25" t="s">
        <v>47</v>
      </c>
    </row>
    <row r="47" spans="1:14" x14ac:dyDescent="0.45">
      <c r="A47" s="2" t="s">
        <v>28</v>
      </c>
      <c r="J47" s="2" t="s">
        <v>28</v>
      </c>
      <c r="K47" s="2"/>
    </row>
    <row r="48" spans="1:14" ht="64.8" customHeight="1" x14ac:dyDescent="0.45">
      <c r="A48" s="31" t="s">
        <v>31</v>
      </c>
      <c r="B48" s="32"/>
      <c r="C48" s="32"/>
      <c r="D48" s="32"/>
      <c r="E48" s="32"/>
      <c r="F48" s="32"/>
      <c r="G48" s="32"/>
      <c r="H48" s="32"/>
      <c r="I48" s="32"/>
      <c r="J48" s="32"/>
    </row>
    <row r="49" spans="1:15" ht="14.65" thickBot="1" x14ac:dyDescent="0.5">
      <c r="A49" s="2" t="s">
        <v>26</v>
      </c>
      <c r="C49" s="2"/>
    </row>
    <row r="50" spans="1:15" ht="14.65" thickBot="1" x14ac:dyDescent="0.5">
      <c r="A50" s="2" t="s">
        <v>64</v>
      </c>
      <c r="B50" s="8">
        <v>125</v>
      </c>
      <c r="C50" s="9">
        <v>250</v>
      </c>
      <c r="D50" s="9">
        <v>500</v>
      </c>
      <c r="E50" s="9">
        <v>1000</v>
      </c>
      <c r="F50" s="9">
        <v>2000</v>
      </c>
      <c r="G50" s="9">
        <v>4000</v>
      </c>
      <c r="H50" s="28" t="s">
        <v>66</v>
      </c>
    </row>
    <row r="51" spans="1:15" ht="14.65" thickBot="1" x14ac:dyDescent="0.5">
      <c r="A51" t="s">
        <v>63</v>
      </c>
      <c r="B51" s="10" t="s">
        <v>32</v>
      </c>
      <c r="C51" s="11" t="s">
        <v>33</v>
      </c>
      <c r="D51" s="11" t="s">
        <v>34</v>
      </c>
      <c r="E51" s="11" t="s">
        <v>35</v>
      </c>
      <c r="F51" s="11" t="s">
        <v>36</v>
      </c>
      <c r="G51" s="11" t="s">
        <v>37</v>
      </c>
    </row>
    <row r="52" spans="1:15" ht="15.75" x14ac:dyDescent="0.45">
      <c r="A52" t="s">
        <v>63</v>
      </c>
      <c r="B52" s="26">
        <f>80+AA</f>
        <v>83</v>
      </c>
      <c r="C52">
        <f>75+BB</f>
        <v>77</v>
      </c>
      <c r="D52">
        <f>73+CC</f>
        <v>75</v>
      </c>
      <c r="E52">
        <f>70+DD_</f>
        <v>76</v>
      </c>
      <c r="F52">
        <f>70+EE</f>
        <v>78</v>
      </c>
      <c r="G52">
        <f>70+FF</f>
        <v>73</v>
      </c>
      <c r="H52" s="21">
        <f>10*LOG10(H53)</f>
        <v>86.065176585629999</v>
      </c>
      <c r="I52" s="1" t="s">
        <v>62</v>
      </c>
      <c r="J52" t="s">
        <v>67</v>
      </c>
    </row>
    <row r="53" spans="1:15" x14ac:dyDescent="0.45">
      <c r="A53" s="27" t="s">
        <v>65</v>
      </c>
      <c r="B53" s="2">
        <f>10^(B52/10)</f>
        <v>199526231.49688843</v>
      </c>
      <c r="C53" s="2">
        <f t="shared" ref="C53:G53" si="0">10^(C52/10)</f>
        <v>50118723.362727284</v>
      </c>
      <c r="D53" s="2">
        <f t="shared" si="0"/>
        <v>31622776.601683889</v>
      </c>
      <c r="E53" s="2">
        <f t="shared" si="0"/>
        <v>39810717.055349804</v>
      </c>
      <c r="F53" s="2">
        <f t="shared" si="0"/>
        <v>63095734.448019333</v>
      </c>
      <c r="G53" s="2">
        <f t="shared" si="0"/>
        <v>19952623.149688821</v>
      </c>
      <c r="H53" s="2">
        <f>SUM(B53:G53)</f>
        <v>404126806.11435759</v>
      </c>
      <c r="J53" t="s">
        <v>74</v>
      </c>
      <c r="K53">
        <f>3+EE/5</f>
        <v>4.5999999999999996</v>
      </c>
      <c r="L53" t="s">
        <v>47</v>
      </c>
      <c r="M53" t="s">
        <v>75</v>
      </c>
      <c r="N53">
        <f>SQRT((ddd/2)^2+heff^2)</f>
        <v>7.9630396206473817</v>
      </c>
      <c r="O53" t="s">
        <v>47</v>
      </c>
    </row>
    <row r="54" spans="1:15" x14ac:dyDescent="0.45">
      <c r="A54" t="s">
        <v>77</v>
      </c>
      <c r="B54">
        <f t="shared" ref="B54:G54" si="1">2*delta*B50/340</f>
        <v>2.1515288538932085</v>
      </c>
      <c r="C54">
        <f t="shared" si="1"/>
        <v>4.3030577077864169</v>
      </c>
      <c r="D54">
        <f t="shared" si="1"/>
        <v>8.6061154155728339</v>
      </c>
      <c r="E54">
        <f t="shared" si="1"/>
        <v>17.212230831145668</v>
      </c>
      <c r="F54">
        <f t="shared" si="1"/>
        <v>34.424461662291336</v>
      </c>
      <c r="G54">
        <f t="shared" si="1"/>
        <v>68.848923324582671</v>
      </c>
      <c r="J54" t="s">
        <v>68</v>
      </c>
      <c r="K54">
        <f>10+FF</f>
        <v>13</v>
      </c>
      <c r="L54" t="s">
        <v>47</v>
      </c>
      <c r="M54" t="s">
        <v>73</v>
      </c>
      <c r="N54">
        <f>N53</f>
        <v>7.9630396206473817</v>
      </c>
      <c r="O54" t="s">
        <v>47</v>
      </c>
    </row>
    <row r="55" spans="1:15" x14ac:dyDescent="0.45">
      <c r="A55" t="s">
        <v>80</v>
      </c>
      <c r="B55">
        <f>10*LOG10(3+20*B54)</f>
        <v>16.630464196074442</v>
      </c>
      <c r="C55">
        <f t="shared" ref="C55:G55" si="2">10*LOG10(3+20*C54)</f>
        <v>19.496883189135087</v>
      </c>
      <c r="D55">
        <f t="shared" si="2"/>
        <v>22.433414730934587</v>
      </c>
      <c r="E55">
        <f t="shared" si="2"/>
        <v>25.406355215397163</v>
      </c>
      <c r="F55">
        <f t="shared" si="2"/>
        <v>28.397854223653173</v>
      </c>
      <c r="G55">
        <f t="shared" si="2"/>
        <v>31.398723096209356</v>
      </c>
      <c r="J55" t="s">
        <v>71</v>
      </c>
      <c r="L55">
        <f>SC+CR-ddd</f>
        <v>2.9260792412947634</v>
      </c>
      <c r="M55" t="s">
        <v>47</v>
      </c>
    </row>
    <row r="56" spans="1:15" x14ac:dyDescent="0.45">
      <c r="A56" t="s">
        <v>81</v>
      </c>
      <c r="B56">
        <f>B52-B55</f>
        <v>66.369535803925558</v>
      </c>
      <c r="C56">
        <f t="shared" ref="C56:G56" si="3">C52-C55</f>
        <v>57.50311681086491</v>
      </c>
      <c r="D56">
        <f t="shared" si="3"/>
        <v>52.566585269065413</v>
      </c>
      <c r="E56">
        <f t="shared" si="3"/>
        <v>50.593644784602837</v>
      </c>
      <c r="F56">
        <f t="shared" si="3"/>
        <v>49.602145776346831</v>
      </c>
      <c r="G56">
        <f t="shared" si="3"/>
        <v>41.601276903790648</v>
      </c>
      <c r="H56" s="21">
        <f>10*LOG10(H57)</f>
        <v>67.241380327780959</v>
      </c>
      <c r="I56" s="1" t="s">
        <v>62</v>
      </c>
      <c r="L56" s="14" t="s">
        <v>41</v>
      </c>
    </row>
    <row r="57" spans="1:15" x14ac:dyDescent="0.45">
      <c r="A57" s="27" t="s">
        <v>65</v>
      </c>
      <c r="B57" s="2">
        <f>10^(B56/10)</f>
        <v>4334645.4501183983</v>
      </c>
      <c r="C57" s="2">
        <f t="shared" ref="C57" si="4">10^(C56/10)</f>
        <v>562745.04679214</v>
      </c>
      <c r="D57" s="2">
        <f t="shared" ref="D57" si="5">10^(D56/10)</f>
        <v>180575.3756137251</v>
      </c>
      <c r="E57" s="2">
        <f t="shared" ref="E57" si="6">10^(E56/10)</f>
        <v>114647.47083057526</v>
      </c>
      <c r="F57" s="2">
        <f t="shared" ref="F57" si="7">10^(F56/10)</f>
        <v>91246.155998481991</v>
      </c>
      <c r="G57" s="2">
        <f t="shared" ref="G57" si="8">10^(G56/10)</f>
        <v>14458.648184862477</v>
      </c>
      <c r="H57" s="2">
        <f>SUM(B57:G57)</f>
        <v>5298318.1475381842</v>
      </c>
    </row>
    <row r="59" spans="1:15" x14ac:dyDescent="0.45">
      <c r="A59" t="s">
        <v>78</v>
      </c>
      <c r="E59" t="s">
        <v>82</v>
      </c>
      <c r="H59" s="22">
        <f>H52-H56</f>
        <v>18.82379625784904</v>
      </c>
      <c r="I59" s="23" t="s">
        <v>62</v>
      </c>
      <c r="L59" t="s">
        <v>72</v>
      </c>
    </row>
    <row r="60" spans="1:15" ht="17.649999999999999" x14ac:dyDescent="0.6">
      <c r="A60" s="30" t="s">
        <v>79</v>
      </c>
      <c r="J60" t="s">
        <v>69</v>
      </c>
      <c r="N60" s="29" t="s">
        <v>70</v>
      </c>
    </row>
    <row r="64" spans="1:15" x14ac:dyDescent="0.45">
      <c r="J64" t="s">
        <v>76</v>
      </c>
    </row>
  </sheetData>
  <mergeCells count="4">
    <mergeCell ref="A35:J35"/>
    <mergeCell ref="A39:J39"/>
    <mergeCell ref="A48:J48"/>
    <mergeCell ref="A31:J31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shapeId="1030" r:id="rId4">
          <objectPr defaultSize="0" autoPict="0" r:id="rId5">
            <anchor moveWithCells="1">
              <from>
                <xdr:col>9</xdr:col>
                <xdr:colOff>85725</xdr:colOff>
                <xdr:row>43</xdr:row>
                <xdr:rowOff>9525</xdr:rowOff>
              </from>
              <to>
                <xdr:col>14</xdr:col>
                <xdr:colOff>52388</xdr:colOff>
                <xdr:row>46</xdr:row>
                <xdr:rowOff>85725</xdr:rowOff>
              </to>
            </anchor>
          </objectPr>
        </oleObject>
      </mc:Choice>
      <mc:Fallback>
        <oleObject shapeId="103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DAEA3-917B-4501-92AF-2F5930376420}">
  <sheetPr>
    <outlinePr summaryBelow="0" summaryRight="0"/>
  </sheetPr>
  <dimension ref="A1:AV9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A2" sqref="A2"/>
    </sheetView>
  </sheetViews>
  <sheetFormatPr defaultColWidth="14.3984375" defaultRowHeight="15.75" customHeight="1" x14ac:dyDescent="0.35"/>
  <cols>
    <col min="1" max="1" width="3.59765625" style="34" customWidth="1"/>
    <col min="2" max="2" width="16.73046875" style="34" customWidth="1"/>
    <col min="3" max="3" width="32.73046875" style="34" customWidth="1"/>
    <col min="4" max="4" width="17.53125" style="34" customWidth="1"/>
    <col min="5" max="5" width="8.59765625" style="34" customWidth="1"/>
    <col min="6" max="11" width="2.86328125" style="34" customWidth="1"/>
    <col min="12" max="12" width="21.53125" style="34" customWidth="1"/>
    <col min="13" max="18" width="3.3984375" style="34" customWidth="1"/>
    <col min="19" max="19" width="21.53125" style="34" customWidth="1"/>
    <col min="20" max="25" width="3.6640625" style="34" customWidth="1"/>
    <col min="26" max="26" width="21.53125" style="34" customWidth="1"/>
    <col min="27" max="27" width="6.19921875" style="34" customWidth="1"/>
    <col min="28" max="28" width="11.9296875" style="34" customWidth="1"/>
    <col min="29" max="31" width="8.06640625" style="34" customWidth="1"/>
    <col min="32" max="32" width="10.19921875" style="34" customWidth="1"/>
    <col min="33" max="35" width="7.796875" style="34" customWidth="1"/>
    <col min="36" max="36" width="10.33203125" style="34" customWidth="1"/>
    <col min="37" max="39" width="7.796875" style="34" customWidth="1"/>
    <col min="40" max="40" width="11.1328125" style="34" customWidth="1"/>
    <col min="41" max="43" width="7" style="34" customWidth="1"/>
    <col min="44" max="44" width="11.265625" style="34" customWidth="1"/>
    <col min="45" max="47" width="8.46484375" style="34" customWidth="1"/>
    <col min="48" max="48" width="8.06640625" style="34" customWidth="1"/>
    <col min="49" max="50" width="21.53125" style="34" customWidth="1"/>
    <col min="51" max="16384" width="14.3984375" style="34"/>
  </cols>
  <sheetData>
    <row r="1" spans="1:48" ht="14.25" x14ac:dyDescent="0.45">
      <c r="A1" s="46" t="s">
        <v>157</v>
      </c>
      <c r="B1" s="37" t="s">
        <v>156</v>
      </c>
      <c r="C1" s="41" t="s">
        <v>155</v>
      </c>
      <c r="D1" s="41" t="s">
        <v>154</v>
      </c>
      <c r="E1" s="37" t="s">
        <v>153</v>
      </c>
      <c r="F1" s="37" t="s">
        <v>39</v>
      </c>
      <c r="G1" s="37" t="s">
        <v>40</v>
      </c>
      <c r="H1" s="37" t="s">
        <v>41</v>
      </c>
      <c r="I1" s="37" t="s">
        <v>42</v>
      </c>
      <c r="J1" s="37" t="s">
        <v>43</v>
      </c>
      <c r="K1" s="37" t="s">
        <v>44</v>
      </c>
      <c r="L1" s="41" t="s">
        <v>152</v>
      </c>
      <c r="M1" s="37">
        <v>-1</v>
      </c>
      <c r="N1" s="37">
        <v>-1</v>
      </c>
      <c r="O1" s="37">
        <v>1</v>
      </c>
      <c r="P1" s="37">
        <v>1</v>
      </c>
      <c r="Q1" s="37">
        <v>-1</v>
      </c>
      <c r="R1" s="37">
        <v>1</v>
      </c>
      <c r="S1" s="41" t="s">
        <v>151</v>
      </c>
      <c r="T1" s="37">
        <v>-1</v>
      </c>
      <c r="U1" s="37">
        <v>1</v>
      </c>
      <c r="V1" s="37">
        <v>1</v>
      </c>
      <c r="W1" s="37">
        <v>-1</v>
      </c>
      <c r="X1" s="37">
        <v>-1</v>
      </c>
      <c r="Y1" s="37">
        <v>1</v>
      </c>
      <c r="Z1" s="41" t="s">
        <v>150</v>
      </c>
      <c r="AA1" s="37" t="s">
        <v>158</v>
      </c>
      <c r="AB1" s="41" t="s">
        <v>149</v>
      </c>
      <c r="AC1" s="41" t="s">
        <v>159</v>
      </c>
      <c r="AD1" s="41" t="s">
        <v>160</v>
      </c>
      <c r="AE1" s="37" t="s">
        <v>158</v>
      </c>
      <c r="AF1" s="41" t="s">
        <v>148</v>
      </c>
      <c r="AG1" s="41" t="s">
        <v>159</v>
      </c>
      <c r="AH1" s="41" t="s">
        <v>160</v>
      </c>
      <c r="AI1" s="37" t="s">
        <v>158</v>
      </c>
      <c r="AJ1" s="41" t="s">
        <v>147</v>
      </c>
      <c r="AK1" s="41" t="s">
        <v>159</v>
      </c>
      <c r="AL1" s="41" t="s">
        <v>160</v>
      </c>
      <c r="AM1" s="37" t="s">
        <v>158</v>
      </c>
      <c r="AN1" s="41" t="s">
        <v>146</v>
      </c>
      <c r="AO1" s="41" t="s">
        <v>159</v>
      </c>
      <c r="AP1" s="41" t="s">
        <v>160</v>
      </c>
      <c r="AQ1" s="37" t="s">
        <v>158</v>
      </c>
      <c r="AR1" s="41" t="s">
        <v>145</v>
      </c>
      <c r="AS1" s="41" t="s">
        <v>159</v>
      </c>
      <c r="AT1" s="41" t="s">
        <v>160</v>
      </c>
      <c r="AU1" s="37" t="s">
        <v>158</v>
      </c>
      <c r="AV1" s="43" t="s">
        <v>66</v>
      </c>
    </row>
    <row r="2" spans="1:48" ht="14.25" x14ac:dyDescent="0.45">
      <c r="A2" s="47">
        <v>1</v>
      </c>
      <c r="B2" s="48">
        <v>44494.394426064813</v>
      </c>
      <c r="C2" s="49" t="s">
        <v>144</v>
      </c>
      <c r="D2" s="49" t="s">
        <v>143</v>
      </c>
      <c r="E2" s="59">
        <v>322683</v>
      </c>
      <c r="F2" s="35">
        <f t="shared" ref="F2:F9" si="0">INT(E2/100000)</f>
        <v>3</v>
      </c>
      <c r="G2" s="35">
        <f t="shared" ref="G2:G9" si="1">INT(($E2-100000*F2)/10000)</f>
        <v>2</v>
      </c>
      <c r="H2" s="35">
        <f t="shared" ref="H2:H9" si="2">INT(($E2-100000*F2-10000*G2)/1000)</f>
        <v>2</v>
      </c>
      <c r="I2" s="35">
        <f t="shared" ref="I2:I9" si="3">INT(($E2-100000*$F2-10000*$G2-1000*$H2)/100)</f>
        <v>6</v>
      </c>
      <c r="J2" s="35">
        <f t="shared" ref="J2:J9" si="4">INT(($E2-100000*$F2-10000*$G2-1000*$H2-100*$I2)/10)</f>
        <v>8</v>
      </c>
      <c r="K2" s="35">
        <f t="shared" ref="K2:K9" si="5">INT(($E2-100000*$F2-10000*$G2-1000*$H2-100*$I2-10*$J2))</f>
        <v>3</v>
      </c>
      <c r="L2" s="49" t="s">
        <v>90</v>
      </c>
      <c r="M2" s="38">
        <f>IF(ISERROR(FIND("In free field the sound pressure level decreases by 6 dB when the distance from the source is doubled",L2,1)),0,M$1)</f>
        <v>0</v>
      </c>
      <c r="N2" s="38">
        <f>IF(ISERROR(FIND("In free field the sound pressure level decreases by 3 dB when the distance from the source is doubled",L2,1)),0,N$1)</f>
        <v>0</v>
      </c>
      <c r="O2" s="38">
        <f>IF(ISERROR(FIND("In free field the sound pressure level decreases with  distance according to a law which depends on the shape and size of the sound source",L2,1)),0,O$1)</f>
        <v>1</v>
      </c>
      <c r="P2" s="38">
        <f>IF(ISERROR(FIND("The SPL produced by a linear sound source decades with distance more slowly than the SPL produced by a point source",L2,1)),0,P$1)</f>
        <v>1</v>
      </c>
      <c r="Q2" s="38">
        <f>IF(ISERROR(FIND("The attenuation produced by an obstacle is frequency-independent, being governed only by its geometry",L2,1)),0,Q$1)</f>
        <v>0</v>
      </c>
      <c r="R2" s="38">
        <f>IF(ISERROR(FIND("The attenuation produced by an obstacle is frequency-dependent",L2,1)),0,R$1)</f>
        <v>1</v>
      </c>
      <c r="S2" s="49" t="s">
        <v>142</v>
      </c>
      <c r="T2" s="38">
        <f>IF(ISERROR(FIND("The SPL of the reverberant field reduces by 6 dB",S2,1)),0,T$1)</f>
        <v>0</v>
      </c>
      <c r="U2" s="38">
        <f>IF(ISERROR(FIND("The SPL of the reverberant field reduces by 3 dB",S2,1)),0,U$1)</f>
        <v>1</v>
      </c>
      <c r="V2" s="38">
        <f>IF(ISERROR(FIND("The equivalent absorption area A doubles",S2,1)),0,V$1)</f>
        <v>1</v>
      </c>
      <c r="W2" s="38">
        <f>IF(ISERROR(FIND("The equivalent absorption area A quadruplicates",S2,1)),0,W$1)</f>
        <v>0</v>
      </c>
      <c r="X2" s="38">
        <f>IF(ISERROR(FIND("The critical distance doubles",S2,1)),0,X$1)</f>
        <v>0</v>
      </c>
      <c r="Y2" s="38">
        <f>IF(ISERROR(FIND("The critical distance increases by a factor of 1.41",S2,1)),0,Y$1)</f>
        <v>0</v>
      </c>
      <c r="Z2" s="49" t="s">
        <v>132</v>
      </c>
      <c r="AA2" s="38">
        <v>-1</v>
      </c>
      <c r="AB2" s="49" t="s">
        <v>141</v>
      </c>
      <c r="AC2" s="39">
        <f>110+K2-11-20*LOG10(10+J2)+10*LOG10(Q)</f>
        <v>79.904849854573683</v>
      </c>
      <c r="AD2" s="40" t="s">
        <v>45</v>
      </c>
      <c r="AE2" s="38">
        <v>2</v>
      </c>
      <c r="AF2" s="49" t="s">
        <v>140</v>
      </c>
      <c r="AG2" s="39">
        <f>80+K2-6-10*LOG10(10+J2)+10*LOG10(Q)</f>
        <v>67.457574905606748</v>
      </c>
      <c r="AH2" s="40" t="s">
        <v>45</v>
      </c>
      <c r="AI2" s="38">
        <v>1</v>
      </c>
      <c r="AJ2" s="49" t="s">
        <v>139</v>
      </c>
      <c r="AK2" s="39">
        <f>110+K2+10*LOG10(Q/(4*PI()*(1+J2/3)^2)+4/(0.16*(200+J2*10+K2)/(1+I2/10)))</f>
        <v>104.85204126813107</v>
      </c>
      <c r="AL2" s="40" t="s">
        <v>45</v>
      </c>
      <c r="AM2" s="38">
        <v>2</v>
      </c>
      <c r="AN2" s="49" t="s">
        <v>138</v>
      </c>
      <c r="AO2" s="39">
        <f>SQRT(Q*0.16*(200+J2*10+K2)/(1+I2/10)/16/PI())</f>
        <v>1.0611414714236549</v>
      </c>
      <c r="AP2" s="40" t="s">
        <v>47</v>
      </c>
      <c r="AQ2" s="38">
        <v>2</v>
      </c>
      <c r="AR2" s="49" t="s">
        <v>137</v>
      </c>
      <c r="AS2" s="42">
        <v>18.8</v>
      </c>
      <c r="AT2" s="40" t="s">
        <v>62</v>
      </c>
      <c r="AU2" s="38">
        <v>1</v>
      </c>
      <c r="AV2" s="44">
        <f>SUM(M2:R2)+SUM(T2:Y2)+AA2+AE2+AI2+AM2+AQ2+AU2</f>
        <v>12</v>
      </c>
    </row>
    <row r="3" spans="1:48" ht="14.25" x14ac:dyDescent="0.45">
      <c r="A3" s="47">
        <v>2</v>
      </c>
      <c r="B3" s="48">
        <v>44494.398230856481</v>
      </c>
      <c r="C3" s="49" t="s">
        <v>136</v>
      </c>
      <c r="D3" s="49" t="s">
        <v>135</v>
      </c>
      <c r="E3" s="59">
        <v>340216</v>
      </c>
      <c r="F3" s="35">
        <f t="shared" si="0"/>
        <v>3</v>
      </c>
      <c r="G3" s="35">
        <f t="shared" si="1"/>
        <v>4</v>
      </c>
      <c r="H3" s="35">
        <f t="shared" si="2"/>
        <v>0</v>
      </c>
      <c r="I3" s="35">
        <f t="shared" si="3"/>
        <v>2</v>
      </c>
      <c r="J3" s="35">
        <f t="shared" si="4"/>
        <v>1</v>
      </c>
      <c r="K3" s="35">
        <f t="shared" si="5"/>
        <v>6</v>
      </c>
      <c r="L3" s="49" t="s">
        <v>134</v>
      </c>
      <c r="M3" s="38">
        <f t="shared" ref="M3:M9" si="6">IF(ISERROR(FIND("In free field the sound pressure level decreases by 6 dB when the distance from the source is doubled",L3,1)),0,M$1)</f>
        <v>0</v>
      </c>
      <c r="N3" s="38">
        <f t="shared" ref="N3:N9" si="7">IF(ISERROR(FIND("In free field the sound pressure level decreases by 3 dB when the distance from the source is doubled",L3,1)),0,N$1)</f>
        <v>0</v>
      </c>
      <c r="O3" s="38">
        <f t="shared" ref="O3:O9" si="8">IF(ISERROR(FIND("In free field the sound pressure level decreases with  distance according to a law which depends on the shape and size of the sound source",L3,1)),0,O$1)</f>
        <v>1</v>
      </c>
      <c r="P3" s="38">
        <f t="shared" ref="P3:P9" si="9">IF(ISERROR(FIND("The SPL produced by a linear sound source decades with distance more slowly than the SPL produced by a point source",L3,1)),0,P$1)</f>
        <v>1</v>
      </c>
      <c r="Q3" s="38">
        <f t="shared" ref="Q3:Q9" si="10">IF(ISERROR(FIND("The attenuation produced by an obstacle is frequency-independent, being governed only by its geometry",L3,1)),0,Q$1)</f>
        <v>0</v>
      </c>
      <c r="R3" s="38">
        <f t="shared" ref="R3:R9" si="11">IF(ISERROR(FIND("The attenuation produced by an obstacle is frequency-dependent",L3,1)),0,R$1)</f>
        <v>0</v>
      </c>
      <c r="S3" s="49" t="s">
        <v>133</v>
      </c>
      <c r="T3" s="38">
        <f t="shared" ref="T3:T9" si="12">IF(ISERROR(FIND("The SPL of the reverberant field reduces by 6 dB",S3,1)),0,T$1)</f>
        <v>0</v>
      </c>
      <c r="U3" s="38">
        <f t="shared" ref="U3:U9" si="13">IF(ISERROR(FIND("The SPL of the reverberant field reduces by 3 dB",S3,1)),0,U$1)</f>
        <v>0</v>
      </c>
      <c r="V3" s="38">
        <f t="shared" ref="V3:V9" si="14">IF(ISERROR(FIND("The equivalent absorption area A doubles",S3,1)),0,V$1)</f>
        <v>1</v>
      </c>
      <c r="W3" s="38">
        <f t="shared" ref="W3:W9" si="15">IF(ISERROR(FIND("The equivalent absorption area A quadruplicates",S3,1)),0,W$1)</f>
        <v>0</v>
      </c>
      <c r="X3" s="38">
        <f t="shared" ref="X3:X9" si="16">IF(ISERROR(FIND("The critical distance doubles",S3,1)),0,X$1)</f>
        <v>0</v>
      </c>
      <c r="Y3" s="38">
        <f t="shared" ref="Y3:Y9" si="17">IF(ISERROR(FIND("The critical distance increases by a factor of 1.41",S3,1)),0,Y$1)</f>
        <v>0</v>
      </c>
      <c r="Z3" s="49" t="s">
        <v>132</v>
      </c>
      <c r="AA3" s="38">
        <v>-1</v>
      </c>
      <c r="AB3" s="49" t="s">
        <v>131</v>
      </c>
      <c r="AC3" s="39">
        <f>100+K3-11-20*LOG10(10+J3)+10*LOG10(Q)</f>
        <v>77.182446253475305</v>
      </c>
      <c r="AD3" s="40" t="s">
        <v>45</v>
      </c>
      <c r="AE3" s="38">
        <v>1</v>
      </c>
      <c r="AF3" s="49" t="s">
        <v>130</v>
      </c>
      <c r="AG3" s="39">
        <f>80+K3-6-10*LOG10(10+J3)+10*LOG10(Q)</f>
        <v>72.596373105057566</v>
      </c>
      <c r="AH3" s="40" t="s">
        <v>45</v>
      </c>
      <c r="AI3" s="38">
        <v>1</v>
      </c>
      <c r="AJ3" s="49" t="s">
        <v>124</v>
      </c>
      <c r="AK3" s="39">
        <f>100+K3+10*LOG10(Q/(4*PI()*(1+J3/3)^2)+4/(0.16*(200+J3*10+K3)/(1+I3/10)))</f>
        <v>99.587218529637227</v>
      </c>
      <c r="AL3" s="40" t="s">
        <v>45</v>
      </c>
      <c r="AM3" s="38">
        <v>1</v>
      </c>
      <c r="AN3" s="50"/>
      <c r="AO3" s="39">
        <f>SQRT(Q*0.16*(200+J3*10+K3)/(1+I3/10)/16/PI())</f>
        <v>1.0704744696916628</v>
      </c>
      <c r="AP3" s="40" t="s">
        <v>47</v>
      </c>
      <c r="AQ3" s="38">
        <v>0</v>
      </c>
      <c r="AR3" s="50"/>
      <c r="AS3" s="42">
        <v>14.9</v>
      </c>
      <c r="AT3" s="40" t="s">
        <v>62</v>
      </c>
      <c r="AU3" s="38">
        <v>0</v>
      </c>
      <c r="AV3" s="44">
        <f t="shared" ref="AV3:AV9" si="18">SUM(M3:R3)+SUM(T3:Y3)+AA3+AE3+AI3+AM3+AQ3+AU3</f>
        <v>5</v>
      </c>
    </row>
    <row r="4" spans="1:48" ht="14.25" x14ac:dyDescent="0.45">
      <c r="A4" s="47">
        <v>3</v>
      </c>
      <c r="B4" s="48">
        <v>44494.399366793979</v>
      </c>
      <c r="C4" s="49" t="s">
        <v>129</v>
      </c>
      <c r="D4" s="49" t="s">
        <v>128</v>
      </c>
      <c r="E4" s="59">
        <v>329845</v>
      </c>
      <c r="F4" s="35">
        <f t="shared" si="0"/>
        <v>3</v>
      </c>
      <c r="G4" s="35">
        <f t="shared" si="1"/>
        <v>2</v>
      </c>
      <c r="H4" s="35">
        <f t="shared" si="2"/>
        <v>9</v>
      </c>
      <c r="I4" s="35">
        <f t="shared" si="3"/>
        <v>8</v>
      </c>
      <c r="J4" s="35">
        <f t="shared" si="4"/>
        <v>4</v>
      </c>
      <c r="K4" s="35">
        <f t="shared" si="5"/>
        <v>5</v>
      </c>
      <c r="L4" s="49" t="s">
        <v>127</v>
      </c>
      <c r="M4" s="38">
        <f t="shared" si="6"/>
        <v>0</v>
      </c>
      <c r="N4" s="38">
        <f t="shared" si="7"/>
        <v>0</v>
      </c>
      <c r="O4" s="38">
        <f t="shared" si="8"/>
        <v>0</v>
      </c>
      <c r="P4" s="38">
        <f t="shared" si="9"/>
        <v>1</v>
      </c>
      <c r="Q4" s="38">
        <f t="shared" si="10"/>
        <v>0</v>
      </c>
      <c r="R4" s="38">
        <f t="shared" si="11"/>
        <v>1</v>
      </c>
      <c r="S4" s="49" t="s">
        <v>89</v>
      </c>
      <c r="T4" s="38">
        <f t="shared" si="12"/>
        <v>0</v>
      </c>
      <c r="U4" s="38">
        <f t="shared" si="13"/>
        <v>1</v>
      </c>
      <c r="V4" s="38">
        <f t="shared" si="14"/>
        <v>1</v>
      </c>
      <c r="W4" s="38">
        <f t="shared" si="15"/>
        <v>0</v>
      </c>
      <c r="X4" s="38">
        <f t="shared" si="16"/>
        <v>0</v>
      </c>
      <c r="Y4" s="38">
        <f t="shared" si="17"/>
        <v>1</v>
      </c>
      <c r="Z4" s="49" t="s">
        <v>88</v>
      </c>
      <c r="AA4" s="38">
        <v>1</v>
      </c>
      <c r="AB4" s="49" t="s">
        <v>126</v>
      </c>
      <c r="AC4" s="39">
        <f>100+K4-11-20*LOG10(10+J4)+10*LOG10(Q)</f>
        <v>74.087739243075049</v>
      </c>
      <c r="AD4" s="40" t="s">
        <v>45</v>
      </c>
      <c r="AE4" s="38">
        <v>2</v>
      </c>
      <c r="AF4" s="49" t="s">
        <v>125</v>
      </c>
      <c r="AG4" s="39">
        <f>80+K4-6-10*LOG10(10+J4)+10*LOG10(Q)</f>
        <v>70.549019599857431</v>
      </c>
      <c r="AH4" s="40" t="s">
        <v>45</v>
      </c>
      <c r="AI4" s="38">
        <v>2</v>
      </c>
      <c r="AJ4" s="49" t="s">
        <v>124</v>
      </c>
      <c r="AK4" s="39">
        <f>100+K4+10*LOG10(Q/(4*PI()*(1+J4/3)^2)+4/(0.16*(200+J4*10+K4)/(1+I4/10)))</f>
        <v>98.28187920967386</v>
      </c>
      <c r="AL4" s="40" t="s">
        <v>45</v>
      </c>
      <c r="AM4" s="38">
        <v>1</v>
      </c>
      <c r="AN4" s="49" t="s">
        <v>123</v>
      </c>
      <c r="AO4" s="39">
        <f>SQRT(Q*0.16*(200+J4*10+K4)/(1+I4/10)/16/PI())</f>
        <v>0.93086532093667629</v>
      </c>
      <c r="AP4" s="40" t="s">
        <v>47</v>
      </c>
      <c r="AQ4" s="38">
        <v>2</v>
      </c>
      <c r="AR4" s="49" t="s">
        <v>122</v>
      </c>
      <c r="AS4" s="42">
        <v>17.5</v>
      </c>
      <c r="AT4" s="40" t="s">
        <v>62</v>
      </c>
      <c r="AU4" s="38">
        <v>2</v>
      </c>
      <c r="AV4" s="44">
        <f t="shared" si="18"/>
        <v>15</v>
      </c>
    </row>
    <row r="5" spans="1:48" ht="14.25" x14ac:dyDescent="0.45">
      <c r="A5" s="47">
        <v>4</v>
      </c>
      <c r="B5" s="48">
        <v>44494.39939820602</v>
      </c>
      <c r="C5" s="49" t="s">
        <v>121</v>
      </c>
      <c r="D5" s="49" t="s">
        <v>120</v>
      </c>
      <c r="E5" s="59">
        <v>325905</v>
      </c>
      <c r="F5" s="35">
        <f t="shared" si="0"/>
        <v>3</v>
      </c>
      <c r="G5" s="35">
        <f t="shared" si="1"/>
        <v>2</v>
      </c>
      <c r="H5" s="35">
        <f t="shared" si="2"/>
        <v>5</v>
      </c>
      <c r="I5" s="35">
        <f t="shared" si="3"/>
        <v>9</v>
      </c>
      <c r="J5" s="35">
        <f t="shared" si="4"/>
        <v>0</v>
      </c>
      <c r="K5" s="35">
        <f t="shared" si="5"/>
        <v>5</v>
      </c>
      <c r="L5" s="49" t="s">
        <v>90</v>
      </c>
      <c r="M5" s="38">
        <f t="shared" si="6"/>
        <v>0</v>
      </c>
      <c r="N5" s="38">
        <f t="shared" si="7"/>
        <v>0</v>
      </c>
      <c r="O5" s="38">
        <f t="shared" si="8"/>
        <v>1</v>
      </c>
      <c r="P5" s="38">
        <f t="shared" si="9"/>
        <v>1</v>
      </c>
      <c r="Q5" s="38">
        <f t="shared" si="10"/>
        <v>0</v>
      </c>
      <c r="R5" s="38">
        <f t="shared" si="11"/>
        <v>1</v>
      </c>
      <c r="S5" s="49" t="s">
        <v>89</v>
      </c>
      <c r="T5" s="38">
        <f t="shared" si="12"/>
        <v>0</v>
      </c>
      <c r="U5" s="38">
        <f t="shared" si="13"/>
        <v>1</v>
      </c>
      <c r="V5" s="38">
        <f t="shared" si="14"/>
        <v>1</v>
      </c>
      <c r="W5" s="38">
        <f t="shared" si="15"/>
        <v>0</v>
      </c>
      <c r="X5" s="38">
        <f t="shared" si="16"/>
        <v>0</v>
      </c>
      <c r="Y5" s="38">
        <f t="shared" si="17"/>
        <v>1</v>
      </c>
      <c r="Z5" s="49" t="s">
        <v>88</v>
      </c>
      <c r="AA5" s="38">
        <v>1</v>
      </c>
      <c r="AB5" s="49" t="s">
        <v>119</v>
      </c>
      <c r="AC5" s="39">
        <f>100+K5-11-20*LOG10(10+J5)+10*LOG10(Q)</f>
        <v>77.010299956639813</v>
      </c>
      <c r="AD5" s="40" t="s">
        <v>45</v>
      </c>
      <c r="AE5" s="38">
        <v>2</v>
      </c>
      <c r="AF5" s="49" t="s">
        <v>118</v>
      </c>
      <c r="AG5" s="39">
        <f>80+K5-6-10*LOG10(10+J5)+10*LOG10(Q)</f>
        <v>72.010299956639813</v>
      </c>
      <c r="AH5" s="40" t="s">
        <v>45</v>
      </c>
      <c r="AI5" s="38">
        <v>2</v>
      </c>
      <c r="AJ5" s="49" t="s">
        <v>117</v>
      </c>
      <c r="AK5" s="39">
        <f>100+K5+10*LOG10(Q/(4*PI()*(1+J5/3)^2)+4/(0.16*(200+J5*10+K5)/(1+I5/10)))</f>
        <v>100.92023739009083</v>
      </c>
      <c r="AL5" s="40" t="s">
        <v>45</v>
      </c>
      <c r="AM5" s="38">
        <v>2</v>
      </c>
      <c r="AN5" s="49" t="s">
        <v>116</v>
      </c>
      <c r="AO5" s="39">
        <f>SQRT(Q*0.16*(200+J5*10+K5)/(1+I5/10)/16/PI())</f>
        <v>0.82878177349698723</v>
      </c>
      <c r="AP5" s="40" t="s">
        <v>47</v>
      </c>
      <c r="AQ5" s="38">
        <v>2</v>
      </c>
      <c r="AR5" s="49" t="s">
        <v>115</v>
      </c>
      <c r="AS5" s="42">
        <v>15.3</v>
      </c>
      <c r="AT5" s="40" t="s">
        <v>62</v>
      </c>
      <c r="AU5" s="38">
        <v>2</v>
      </c>
      <c r="AV5" s="44">
        <f t="shared" si="18"/>
        <v>17</v>
      </c>
    </row>
    <row r="6" spans="1:48" ht="14.25" x14ac:dyDescent="0.45">
      <c r="A6" s="47">
        <v>5</v>
      </c>
      <c r="B6" s="48">
        <v>44494.399971782404</v>
      </c>
      <c r="C6" s="49" t="s">
        <v>114</v>
      </c>
      <c r="D6" s="49" t="s">
        <v>113</v>
      </c>
      <c r="E6" s="59">
        <v>324363</v>
      </c>
      <c r="F6" s="35">
        <f t="shared" si="0"/>
        <v>3</v>
      </c>
      <c r="G6" s="35">
        <f t="shared" si="1"/>
        <v>2</v>
      </c>
      <c r="H6" s="35">
        <f t="shared" si="2"/>
        <v>4</v>
      </c>
      <c r="I6" s="35">
        <f t="shared" si="3"/>
        <v>3</v>
      </c>
      <c r="J6" s="35">
        <f t="shared" si="4"/>
        <v>6</v>
      </c>
      <c r="K6" s="35">
        <f t="shared" si="5"/>
        <v>3</v>
      </c>
      <c r="L6" s="49" t="s">
        <v>112</v>
      </c>
      <c r="M6" s="38">
        <f t="shared" si="6"/>
        <v>-1</v>
      </c>
      <c r="N6" s="38">
        <f t="shared" si="7"/>
        <v>0</v>
      </c>
      <c r="O6" s="38">
        <f t="shared" si="8"/>
        <v>0</v>
      </c>
      <c r="P6" s="38">
        <f t="shared" si="9"/>
        <v>1</v>
      </c>
      <c r="Q6" s="38">
        <f t="shared" si="10"/>
        <v>0</v>
      </c>
      <c r="R6" s="38">
        <f t="shared" si="11"/>
        <v>1</v>
      </c>
      <c r="S6" s="49" t="s">
        <v>89</v>
      </c>
      <c r="T6" s="38">
        <f t="shared" si="12"/>
        <v>0</v>
      </c>
      <c r="U6" s="38">
        <f t="shared" si="13"/>
        <v>1</v>
      </c>
      <c r="V6" s="38">
        <f t="shared" si="14"/>
        <v>1</v>
      </c>
      <c r="W6" s="38">
        <f t="shared" si="15"/>
        <v>0</v>
      </c>
      <c r="X6" s="38">
        <f t="shared" si="16"/>
        <v>0</v>
      </c>
      <c r="Y6" s="38">
        <f t="shared" si="17"/>
        <v>1</v>
      </c>
      <c r="Z6" s="49" t="s">
        <v>88</v>
      </c>
      <c r="AA6" s="38">
        <v>1</v>
      </c>
      <c r="AB6" s="49" t="s">
        <v>111</v>
      </c>
      <c r="AC6" s="39">
        <f>100+K6-11-20*LOG10(10+J6)+10*LOG10(Q)</f>
        <v>70.927900303521312</v>
      </c>
      <c r="AD6" s="40" t="s">
        <v>45</v>
      </c>
      <c r="AE6" s="38">
        <v>2</v>
      </c>
      <c r="AF6" s="49" t="s">
        <v>110</v>
      </c>
      <c r="AG6" s="39">
        <f>80+K6-6-10*LOG10(10+J6)+10*LOG10(Q)</f>
        <v>67.969100130080562</v>
      </c>
      <c r="AH6" s="40" t="s">
        <v>45</v>
      </c>
      <c r="AI6" s="38">
        <v>1</v>
      </c>
      <c r="AJ6" s="49" t="s">
        <v>109</v>
      </c>
      <c r="AK6" s="39">
        <f>100+K6+10*LOG10(Q/(4*PI()*(1+J6/3)^2)+4/(0.16*(200+J6*10+K6)/(1+I6/10)))</f>
        <v>94.500131361766933</v>
      </c>
      <c r="AL6" s="40" t="s">
        <v>45</v>
      </c>
      <c r="AM6" s="38">
        <v>2</v>
      </c>
      <c r="AN6" s="49" t="s">
        <v>108</v>
      </c>
      <c r="AO6" s="39">
        <f>SQRT(Q*0.16*(200+J6*10+K6)/(1+I6/10)/16/PI())</f>
        <v>1.1348703759686996</v>
      </c>
      <c r="AP6" s="40" t="s">
        <v>47</v>
      </c>
      <c r="AQ6" s="38">
        <v>2</v>
      </c>
      <c r="AR6" s="49" t="s">
        <v>107</v>
      </c>
      <c r="AS6" s="42">
        <v>17.899999999999999</v>
      </c>
      <c r="AT6" s="40" t="s">
        <v>62</v>
      </c>
      <c r="AU6" s="38">
        <v>1</v>
      </c>
      <c r="AV6" s="44">
        <f t="shared" si="18"/>
        <v>13</v>
      </c>
    </row>
    <row r="7" spans="1:48" ht="14.25" x14ac:dyDescent="0.45">
      <c r="A7" s="47">
        <v>6</v>
      </c>
      <c r="B7" s="48">
        <v>44494.400363020832</v>
      </c>
      <c r="C7" s="49" t="s">
        <v>106</v>
      </c>
      <c r="D7" s="49" t="s">
        <v>105</v>
      </c>
      <c r="E7" s="59">
        <v>325758</v>
      </c>
      <c r="F7" s="35">
        <f t="shared" si="0"/>
        <v>3</v>
      </c>
      <c r="G7" s="35">
        <f t="shared" si="1"/>
        <v>2</v>
      </c>
      <c r="H7" s="35">
        <f t="shared" si="2"/>
        <v>5</v>
      </c>
      <c r="I7" s="35">
        <f t="shared" si="3"/>
        <v>7</v>
      </c>
      <c r="J7" s="35">
        <f t="shared" si="4"/>
        <v>5</v>
      </c>
      <c r="K7" s="35">
        <f t="shared" si="5"/>
        <v>8</v>
      </c>
      <c r="L7" s="49" t="s">
        <v>90</v>
      </c>
      <c r="M7" s="38">
        <f t="shared" si="6"/>
        <v>0</v>
      </c>
      <c r="N7" s="38">
        <f t="shared" si="7"/>
        <v>0</v>
      </c>
      <c r="O7" s="38">
        <f t="shared" si="8"/>
        <v>1</v>
      </c>
      <c r="P7" s="38">
        <f t="shared" si="9"/>
        <v>1</v>
      </c>
      <c r="Q7" s="38">
        <f t="shared" si="10"/>
        <v>0</v>
      </c>
      <c r="R7" s="38">
        <f t="shared" si="11"/>
        <v>1</v>
      </c>
      <c r="S7" s="49" t="s">
        <v>89</v>
      </c>
      <c r="T7" s="38">
        <f t="shared" si="12"/>
        <v>0</v>
      </c>
      <c r="U7" s="38">
        <f t="shared" si="13"/>
        <v>1</v>
      </c>
      <c r="V7" s="38">
        <f t="shared" si="14"/>
        <v>1</v>
      </c>
      <c r="W7" s="38">
        <f t="shared" si="15"/>
        <v>0</v>
      </c>
      <c r="X7" s="38">
        <f t="shared" si="16"/>
        <v>0</v>
      </c>
      <c r="Y7" s="38">
        <f t="shared" si="17"/>
        <v>1</v>
      </c>
      <c r="Z7" s="49" t="s">
        <v>88</v>
      </c>
      <c r="AA7" s="38">
        <v>1</v>
      </c>
      <c r="AB7" s="49" t="s">
        <v>104</v>
      </c>
      <c r="AC7" s="39">
        <f>100+K7-11-20*LOG10(10+J7)+10*LOG10(Q)</f>
        <v>76.488474775526186</v>
      </c>
      <c r="AD7" s="40" t="s">
        <v>45</v>
      </c>
      <c r="AE7" s="38">
        <v>2</v>
      </c>
      <c r="AF7" s="49" t="s">
        <v>103</v>
      </c>
      <c r="AG7" s="39">
        <f>80+K7-6-10*LOG10(10+J7)+10*LOG10(Q)</f>
        <v>73.249387366082999</v>
      </c>
      <c r="AH7" s="40" t="s">
        <v>45</v>
      </c>
      <c r="AI7" s="38">
        <v>1</v>
      </c>
      <c r="AJ7" s="49" t="s">
        <v>102</v>
      </c>
      <c r="AK7" s="39">
        <f>100+K7+10*LOG10(Q/(4*PI()*(1+J7/3)^2)+4/(0.16*(200+J7*10+K7)/(1+I7/10)))</f>
        <v>100.72096641426064</v>
      </c>
      <c r="AL7" s="40" t="s">
        <v>45</v>
      </c>
      <c r="AM7" s="38">
        <v>2</v>
      </c>
      <c r="AN7" s="49" t="s">
        <v>101</v>
      </c>
      <c r="AO7" s="39">
        <f>SQRT(Q*0.16*(200+J7*10+K7)/(1+I7/10)/16/PI())</f>
        <v>0.98293648071610651</v>
      </c>
      <c r="AP7" s="40" t="s">
        <v>47</v>
      </c>
      <c r="AQ7" s="38">
        <v>2</v>
      </c>
      <c r="AR7" s="49" t="s">
        <v>100</v>
      </c>
      <c r="AS7" s="42">
        <v>17</v>
      </c>
      <c r="AT7" s="40" t="s">
        <v>62</v>
      </c>
      <c r="AU7" s="38">
        <v>1</v>
      </c>
      <c r="AV7" s="44">
        <f>SUM(M7:R7)+SUM(T7:Y7)+AA7+AE7+AI7+AM7+AQ7+AU7</f>
        <v>15</v>
      </c>
    </row>
    <row r="8" spans="1:48" ht="14.25" x14ac:dyDescent="0.45">
      <c r="A8" s="47">
        <v>7</v>
      </c>
      <c r="B8" s="48">
        <v>44494.402037210646</v>
      </c>
      <c r="C8" s="49" t="s">
        <v>99</v>
      </c>
      <c r="D8" s="49" t="s">
        <v>98</v>
      </c>
      <c r="E8" s="59">
        <v>321870</v>
      </c>
      <c r="F8" s="35">
        <f t="shared" si="0"/>
        <v>3</v>
      </c>
      <c r="G8" s="35">
        <f t="shared" si="1"/>
        <v>2</v>
      </c>
      <c r="H8" s="35">
        <f t="shared" si="2"/>
        <v>1</v>
      </c>
      <c r="I8" s="35">
        <f t="shared" si="3"/>
        <v>8</v>
      </c>
      <c r="J8" s="35">
        <f t="shared" si="4"/>
        <v>7</v>
      </c>
      <c r="K8" s="35">
        <f t="shared" si="5"/>
        <v>0</v>
      </c>
      <c r="L8" s="49" t="s">
        <v>90</v>
      </c>
      <c r="M8" s="38">
        <f t="shared" si="6"/>
        <v>0</v>
      </c>
      <c r="N8" s="38">
        <f t="shared" si="7"/>
        <v>0</v>
      </c>
      <c r="O8" s="38">
        <f t="shared" si="8"/>
        <v>1</v>
      </c>
      <c r="P8" s="38">
        <f t="shared" si="9"/>
        <v>1</v>
      </c>
      <c r="Q8" s="38">
        <f t="shared" si="10"/>
        <v>0</v>
      </c>
      <c r="R8" s="38">
        <f t="shared" si="11"/>
        <v>1</v>
      </c>
      <c r="S8" s="49" t="s">
        <v>89</v>
      </c>
      <c r="T8" s="38">
        <f t="shared" si="12"/>
        <v>0</v>
      </c>
      <c r="U8" s="38">
        <f t="shared" si="13"/>
        <v>1</v>
      </c>
      <c r="V8" s="38">
        <f t="shared" si="14"/>
        <v>1</v>
      </c>
      <c r="W8" s="38">
        <f t="shared" si="15"/>
        <v>0</v>
      </c>
      <c r="X8" s="38">
        <f t="shared" si="16"/>
        <v>0</v>
      </c>
      <c r="Y8" s="38">
        <f t="shared" si="17"/>
        <v>1</v>
      </c>
      <c r="Z8" s="49" t="s">
        <v>88</v>
      </c>
      <c r="AA8" s="38">
        <v>1</v>
      </c>
      <c r="AB8" s="49" t="s">
        <v>97</v>
      </c>
      <c r="AC8" s="39">
        <f>100+K8-11-20*LOG10(10+J8)+10*LOG10(Q)</f>
        <v>67.401321529074337</v>
      </c>
      <c r="AD8" s="40" t="s">
        <v>45</v>
      </c>
      <c r="AE8" s="38">
        <v>1</v>
      </c>
      <c r="AF8" s="49" t="s">
        <v>96</v>
      </c>
      <c r="AG8" s="39">
        <f>80+K8-6-10*LOG10(10+J8)+10*LOG10(Q)</f>
        <v>64.705810742857068</v>
      </c>
      <c r="AH8" s="40" t="s">
        <v>45</v>
      </c>
      <c r="AI8" s="38">
        <v>1</v>
      </c>
      <c r="AJ8" s="49" t="s">
        <v>95</v>
      </c>
      <c r="AK8" s="39">
        <f>100+K8+10*LOG10(Q/(4*PI()*(1+J8/3)^2)+4/(0.16*(200+J8*10+K8)/(1+I8/10)))</f>
        <v>92.576560474659971</v>
      </c>
      <c r="AL8" s="40" t="s">
        <v>45</v>
      </c>
      <c r="AM8" s="38">
        <v>2</v>
      </c>
      <c r="AN8" s="49" t="s">
        <v>94</v>
      </c>
      <c r="AO8" s="39">
        <f>SQRT(Q*0.16*(200+J8*10+K8)/(1+I8/10)/16/PI())</f>
        <v>0.97720502380583985</v>
      </c>
      <c r="AP8" s="40" t="s">
        <v>47</v>
      </c>
      <c r="AQ8" s="38">
        <v>2</v>
      </c>
      <c r="AR8" s="49" t="s">
        <v>93</v>
      </c>
      <c r="AS8" s="42">
        <v>19.3</v>
      </c>
      <c r="AT8" s="40" t="s">
        <v>62</v>
      </c>
      <c r="AU8" s="38">
        <v>0</v>
      </c>
      <c r="AV8" s="44">
        <f t="shared" si="18"/>
        <v>13</v>
      </c>
    </row>
    <row r="9" spans="1:48" ht="14.65" thickBot="1" x14ac:dyDescent="0.5">
      <c r="A9" s="51">
        <v>8</v>
      </c>
      <c r="B9" s="52">
        <v>44494.402155312499</v>
      </c>
      <c r="C9" s="53" t="s">
        <v>92</v>
      </c>
      <c r="D9" s="53" t="s">
        <v>91</v>
      </c>
      <c r="E9" s="60">
        <v>328027</v>
      </c>
      <c r="F9" s="36">
        <f t="shared" si="0"/>
        <v>3</v>
      </c>
      <c r="G9" s="36">
        <f t="shared" si="1"/>
        <v>2</v>
      </c>
      <c r="H9" s="36">
        <f t="shared" si="2"/>
        <v>8</v>
      </c>
      <c r="I9" s="36">
        <f t="shared" si="3"/>
        <v>0</v>
      </c>
      <c r="J9" s="36">
        <f t="shared" si="4"/>
        <v>2</v>
      </c>
      <c r="K9" s="36">
        <f t="shared" si="5"/>
        <v>7</v>
      </c>
      <c r="L9" s="53" t="s">
        <v>90</v>
      </c>
      <c r="M9" s="19">
        <f t="shared" si="6"/>
        <v>0</v>
      </c>
      <c r="N9" s="19">
        <f t="shared" si="7"/>
        <v>0</v>
      </c>
      <c r="O9" s="19">
        <f t="shared" si="8"/>
        <v>1</v>
      </c>
      <c r="P9" s="19">
        <f t="shared" si="9"/>
        <v>1</v>
      </c>
      <c r="Q9" s="19">
        <f t="shared" si="10"/>
        <v>0</v>
      </c>
      <c r="R9" s="19">
        <f t="shared" si="11"/>
        <v>1</v>
      </c>
      <c r="S9" s="53" t="s">
        <v>89</v>
      </c>
      <c r="T9" s="19">
        <f t="shared" si="12"/>
        <v>0</v>
      </c>
      <c r="U9" s="19">
        <f t="shared" si="13"/>
        <v>1</v>
      </c>
      <c r="V9" s="19">
        <f t="shared" si="14"/>
        <v>1</v>
      </c>
      <c r="W9" s="19">
        <f t="shared" si="15"/>
        <v>0</v>
      </c>
      <c r="X9" s="19">
        <f t="shared" si="16"/>
        <v>0</v>
      </c>
      <c r="Y9" s="19">
        <f t="shared" si="17"/>
        <v>1</v>
      </c>
      <c r="Z9" s="53" t="s">
        <v>88</v>
      </c>
      <c r="AA9" s="19">
        <v>1</v>
      </c>
      <c r="AB9" s="53" t="s">
        <v>87</v>
      </c>
      <c r="AC9" s="54">
        <f>100+K9-11-20*LOG10(10+J9)+10*LOG10(Q)</f>
        <v>77.42667503568731</v>
      </c>
      <c r="AD9" s="55" t="s">
        <v>45</v>
      </c>
      <c r="AE9" s="19">
        <v>2</v>
      </c>
      <c r="AF9" s="53" t="s">
        <v>86</v>
      </c>
      <c r="AG9" s="54">
        <f>80+K9-6-10*LOG10(10+J9)+10*LOG10(Q)</f>
        <v>73.218487496163561</v>
      </c>
      <c r="AH9" s="55" t="s">
        <v>45</v>
      </c>
      <c r="AI9" s="19">
        <v>2</v>
      </c>
      <c r="AJ9" s="53" t="s">
        <v>85</v>
      </c>
      <c r="AK9" s="54">
        <f>100+K9+10*LOG10(Q/(4*PI()*(1+J9/3)^2)+4/(0.16*(200+J9*10+K9)/(1+I9/10)))</f>
        <v>99.238279288768084</v>
      </c>
      <c r="AL9" s="55" t="s">
        <v>45</v>
      </c>
      <c r="AM9" s="19">
        <v>2</v>
      </c>
      <c r="AN9" s="53" t="s">
        <v>84</v>
      </c>
      <c r="AO9" s="54">
        <f>SQRT(Q*0.16*(200+J9*10+K9)/(1+I9/10)/16/PI())</f>
        <v>1.202134303343187</v>
      </c>
      <c r="AP9" s="55" t="s">
        <v>47</v>
      </c>
      <c r="AQ9" s="19">
        <v>2</v>
      </c>
      <c r="AR9" s="53" t="s">
        <v>83</v>
      </c>
      <c r="AS9" s="56">
        <v>15.8</v>
      </c>
      <c r="AT9" s="55" t="s">
        <v>62</v>
      </c>
      <c r="AU9" s="19">
        <v>1</v>
      </c>
      <c r="AV9" s="45">
        <f t="shared" si="18"/>
        <v>16</v>
      </c>
    </row>
  </sheetData>
  <conditionalFormatting sqref="M2:R9">
    <cfRule type="aboveAverage" dxfId="81" priority="31" aboveAverage="0"/>
    <cfRule type="aboveAverage" dxfId="80" priority="32"/>
  </conditionalFormatting>
  <conditionalFormatting sqref="M2:R9">
    <cfRule type="cellIs" dxfId="79" priority="30" operator="equal">
      <formula>0</formula>
    </cfRule>
  </conditionalFormatting>
  <conditionalFormatting sqref="T2:Y9">
    <cfRule type="aboveAverage" dxfId="76" priority="26" aboveAverage="0"/>
    <cfRule type="aboveAverage" dxfId="75" priority="27"/>
  </conditionalFormatting>
  <conditionalFormatting sqref="T2:Y9">
    <cfRule type="cellIs" dxfId="74" priority="25" operator="equal">
      <formula>0</formula>
    </cfRule>
  </conditionalFormatting>
  <conditionalFormatting sqref="AA2:AA9">
    <cfRule type="cellIs" dxfId="73" priority="16" operator="equal">
      <formula>0</formula>
    </cfRule>
  </conditionalFormatting>
  <conditionalFormatting sqref="AA2:AA9">
    <cfRule type="aboveAverage" dxfId="72" priority="17" aboveAverage="0"/>
    <cfRule type="aboveAverage" dxfId="71" priority="18"/>
  </conditionalFormatting>
  <conditionalFormatting sqref="AE2:AE9">
    <cfRule type="cellIs" dxfId="70" priority="14" operator="equal">
      <formula>0</formula>
    </cfRule>
    <cfRule type="cellIs" dxfId="69" priority="15" operator="equal">
      <formula>2</formula>
    </cfRule>
  </conditionalFormatting>
  <conditionalFormatting sqref="AE2:AE9">
    <cfRule type="cellIs" dxfId="68" priority="13" operator="equal">
      <formula>1</formula>
    </cfRule>
  </conditionalFormatting>
  <conditionalFormatting sqref="AI2:AI9">
    <cfRule type="cellIs" dxfId="67" priority="11" operator="equal">
      <formula>0</formula>
    </cfRule>
    <cfRule type="cellIs" dxfId="66" priority="12" operator="equal">
      <formula>2</formula>
    </cfRule>
  </conditionalFormatting>
  <conditionalFormatting sqref="AI2:AI9">
    <cfRule type="cellIs" dxfId="65" priority="10" operator="equal">
      <formula>1</formula>
    </cfRule>
  </conditionalFormatting>
  <conditionalFormatting sqref="AM2:AM9">
    <cfRule type="cellIs" dxfId="64" priority="8" operator="equal">
      <formula>0</formula>
    </cfRule>
    <cfRule type="cellIs" dxfId="63" priority="9" operator="equal">
      <formula>2</formula>
    </cfRule>
  </conditionalFormatting>
  <conditionalFormatting sqref="AM2:AM9">
    <cfRule type="cellIs" dxfId="62" priority="7" operator="equal">
      <formula>1</formula>
    </cfRule>
  </conditionalFormatting>
  <conditionalFormatting sqref="AQ2:AQ9">
    <cfRule type="cellIs" dxfId="61" priority="5" operator="equal">
      <formula>0</formula>
    </cfRule>
    <cfRule type="cellIs" dxfId="60" priority="6" operator="equal">
      <formula>2</formula>
    </cfRule>
  </conditionalFormatting>
  <conditionalFormatting sqref="AQ2:AQ9">
    <cfRule type="cellIs" dxfId="59" priority="4" operator="equal">
      <formula>1</formula>
    </cfRule>
  </conditionalFormatting>
  <conditionalFormatting sqref="AU2:AU9">
    <cfRule type="cellIs" dxfId="58" priority="2" operator="equal">
      <formula>0</formula>
    </cfRule>
    <cfRule type="cellIs" dxfId="57" priority="3" operator="equal">
      <formula>2</formula>
    </cfRule>
  </conditionalFormatting>
  <conditionalFormatting sqref="AU2:AU9">
    <cfRule type="cellIs" dxfId="56" priority="1" operator="equal">
      <formula>1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19</vt:i4>
      </vt:variant>
    </vt:vector>
  </HeadingPairs>
  <TitlesOfParts>
    <vt:vector size="21" baseType="lpstr">
      <vt:lpstr>Solution</vt:lpstr>
      <vt:lpstr>Test-2021-10-25</vt:lpstr>
      <vt:lpstr>A</vt:lpstr>
      <vt:lpstr>AA</vt:lpstr>
      <vt:lpstr>BB</vt:lpstr>
      <vt:lpstr>CC</vt:lpstr>
      <vt:lpstr>CR</vt:lpstr>
      <vt:lpstr>d</vt:lpstr>
      <vt:lpstr>dd</vt:lpstr>
      <vt:lpstr>DD_</vt:lpstr>
      <vt:lpstr>ddd</vt:lpstr>
      <vt:lpstr>delta</vt:lpstr>
      <vt:lpstr>EE</vt:lpstr>
      <vt:lpstr>FF</vt:lpstr>
      <vt:lpstr>heff</vt:lpstr>
      <vt:lpstr>Lw</vt:lpstr>
      <vt:lpstr>Lw_</vt:lpstr>
      <vt:lpstr>Q</vt:lpstr>
      <vt:lpstr>SC</vt:lpstr>
      <vt:lpstr>T</vt:lpstr>
      <vt:lpstr>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2021-10-25T07:45:47Z</dcterms:created>
  <dcterms:modified xsi:type="dcterms:W3CDTF">2021-10-31T11:46:41Z</dcterms:modified>
</cp:coreProperties>
</file>