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Tests-2021\"/>
    </mc:Choice>
  </mc:AlternateContent>
  <xr:revisionPtr revIDLastSave="0" documentId="13_ncr:1_{F5EC32D4-CA62-4FA6-9440-55296511BFE0}" xr6:coauthVersionLast="47" xr6:coauthVersionMax="47" xr10:uidLastSave="{00000000-0000-0000-0000-000000000000}"/>
  <bookViews>
    <workbookView xWindow="-108" yWindow="-108" windowWidth="23256" windowHeight="13896" activeTab="1" xr2:uid="{C30644FC-DBA5-4A44-8503-DE1FA2A8F59F}"/>
  </bookViews>
  <sheets>
    <sheet name="Solution" sheetId="1" r:id="rId1"/>
    <sheet name="Responses" sheetId="2" r:id="rId2"/>
  </sheets>
  <definedNames>
    <definedName name="DL">Solution!$B$37</definedName>
    <definedName name="dsm">Solution!$B$47</definedName>
    <definedName name="dsm_">Solution!$B$48</definedName>
    <definedName name="I_EDc">Solution!$E$42</definedName>
    <definedName name="Lw">Solution!$O$47</definedName>
    <definedName name="S">Solution!$B$54</definedName>
    <definedName name="SPL_dir">Solution!$I$47</definedName>
    <definedName name="SPL_rif">Solution!$I$48</definedName>
    <definedName name="SWR">Solution!$E$37</definedName>
    <definedName name="Te">Solution!$E$53</definedName>
    <definedName name="Ts">Solution!$E$54</definedName>
    <definedName name="V">Solution!$B$53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4" i="2" l="1"/>
  <c r="Z3" i="2"/>
  <c r="Z4" i="2"/>
  <c r="Z5" i="2"/>
  <c r="Z6" i="2"/>
  <c r="AS6" i="2" s="1"/>
  <c r="Z7" i="2"/>
  <c r="AS7" i="2" s="1"/>
  <c r="Z8" i="2"/>
  <c r="Z2" i="2"/>
  <c r="AS2" i="2" s="1"/>
  <c r="AS3" i="2"/>
  <c r="AS5" i="2"/>
  <c r="AS8" i="2"/>
  <c r="AP3" i="2"/>
  <c r="AP4" i="2"/>
  <c r="AP5" i="2"/>
  <c r="AP6" i="2"/>
  <c r="AP7" i="2"/>
  <c r="AP8" i="2"/>
  <c r="AP2" i="2"/>
  <c r="AM3" i="2"/>
  <c r="AM4" i="2"/>
  <c r="AM5" i="2"/>
  <c r="AM6" i="2"/>
  <c r="AM7" i="2"/>
  <c r="AM8" i="2"/>
  <c r="B48" i="1"/>
  <c r="AJ3" i="2"/>
  <c r="AJ4" i="2"/>
  <c r="AJ5" i="2"/>
  <c r="AJ6" i="2"/>
  <c r="AJ7" i="2"/>
  <c r="AJ8" i="2"/>
  <c r="AG3" i="2"/>
  <c r="AG4" i="2"/>
  <c r="AG5" i="2"/>
  <c r="AG6" i="2"/>
  <c r="AG7" i="2"/>
  <c r="AG8" i="2"/>
  <c r="AD3" i="2"/>
  <c r="AD4" i="2"/>
  <c r="AD5" i="2"/>
  <c r="AD6" i="2"/>
  <c r="AD7" i="2"/>
  <c r="AD8" i="2"/>
  <c r="T3" i="2"/>
  <c r="U3" i="2"/>
  <c r="V3" i="2"/>
  <c r="W3" i="2"/>
  <c r="X3" i="2"/>
  <c r="Y3" i="2"/>
  <c r="T4" i="2"/>
  <c r="U4" i="2"/>
  <c r="V4" i="2"/>
  <c r="W4" i="2"/>
  <c r="X4" i="2"/>
  <c r="Y4" i="2"/>
  <c r="T5" i="2"/>
  <c r="U5" i="2"/>
  <c r="V5" i="2"/>
  <c r="W5" i="2"/>
  <c r="X5" i="2"/>
  <c r="Y5" i="2"/>
  <c r="T6" i="2"/>
  <c r="U6" i="2"/>
  <c r="V6" i="2"/>
  <c r="W6" i="2"/>
  <c r="X6" i="2"/>
  <c r="Y6" i="2"/>
  <c r="T7" i="2"/>
  <c r="U7" i="2"/>
  <c r="V7" i="2"/>
  <c r="W7" i="2"/>
  <c r="X7" i="2"/>
  <c r="Y7" i="2"/>
  <c r="T8" i="2"/>
  <c r="U8" i="2"/>
  <c r="V8" i="2"/>
  <c r="W8" i="2"/>
  <c r="X8" i="2"/>
  <c r="Y8" i="2"/>
  <c r="Y2" i="2"/>
  <c r="X2" i="2"/>
  <c r="W2" i="2"/>
  <c r="V2" i="2"/>
  <c r="U2" i="2"/>
  <c r="T2" i="2"/>
  <c r="M3" i="2"/>
  <c r="N3" i="2"/>
  <c r="O3" i="2"/>
  <c r="P3" i="2"/>
  <c r="Q3" i="2"/>
  <c r="R3" i="2"/>
  <c r="M4" i="2"/>
  <c r="N4" i="2"/>
  <c r="O4" i="2"/>
  <c r="Q4" i="2"/>
  <c r="M5" i="2"/>
  <c r="N5" i="2"/>
  <c r="O5" i="2"/>
  <c r="P5" i="2"/>
  <c r="Q5" i="2"/>
  <c r="R5" i="2"/>
  <c r="M6" i="2"/>
  <c r="N6" i="2"/>
  <c r="O6" i="2"/>
  <c r="P6" i="2"/>
  <c r="Q6" i="2"/>
  <c r="R6" i="2"/>
  <c r="M7" i="2"/>
  <c r="N7" i="2"/>
  <c r="O7" i="2"/>
  <c r="P7" i="2"/>
  <c r="Q7" i="2"/>
  <c r="R7" i="2"/>
  <c r="M8" i="2"/>
  <c r="N8" i="2"/>
  <c r="O8" i="2"/>
  <c r="P8" i="2"/>
  <c r="Q8" i="2"/>
  <c r="R8" i="2"/>
  <c r="R2" i="2"/>
  <c r="Q2" i="2"/>
  <c r="P2" i="2"/>
  <c r="O2" i="2"/>
  <c r="N2" i="2"/>
  <c r="M2" i="2"/>
  <c r="F3" i="2"/>
  <c r="G3" i="2" s="1"/>
  <c r="F4" i="2"/>
  <c r="F5" i="2"/>
  <c r="G5" i="2" s="1"/>
  <c r="H5" i="2" s="1"/>
  <c r="F6" i="2"/>
  <c r="G6" i="2" s="1"/>
  <c r="F7" i="2"/>
  <c r="F8" i="2"/>
  <c r="G8" i="2" s="1"/>
  <c r="F2" i="2"/>
  <c r="H8" i="2" l="1"/>
  <c r="H3" i="2"/>
  <c r="I3" i="2" s="1"/>
  <c r="G4" i="2"/>
  <c r="H4" i="2" s="1"/>
  <c r="I5" i="2"/>
  <c r="J5" i="2" s="1"/>
  <c r="G7" i="2"/>
  <c r="H7" i="2" s="1"/>
  <c r="I7" i="2" s="1"/>
  <c r="I4" i="2"/>
  <c r="H6" i="2"/>
  <c r="I6" i="2" s="1"/>
  <c r="I8" i="2"/>
  <c r="J8" i="2" s="1"/>
  <c r="G2" i="2"/>
  <c r="H2" i="2" s="1"/>
  <c r="J6" i="2" l="1"/>
  <c r="K6" i="2" s="1"/>
  <c r="K8" i="2"/>
  <c r="J7" i="2"/>
  <c r="K7" i="2" s="1"/>
  <c r="K5" i="2"/>
  <c r="J3" i="2"/>
  <c r="K3" i="2" s="1"/>
  <c r="J4" i="2"/>
  <c r="K4" i="2" s="1"/>
  <c r="I2" i="2"/>
  <c r="J2" i="2" l="1"/>
  <c r="K2" i="2" l="1"/>
  <c r="AM2" i="2" s="1"/>
  <c r="AG2" i="2" l="1"/>
  <c r="AD2" i="2"/>
  <c r="AJ2" i="2"/>
  <c r="E63" i="1" l="1"/>
  <c r="E64" i="1" s="1"/>
  <c r="D63" i="1"/>
  <c r="D64" i="1" s="1"/>
  <c r="C63" i="1"/>
  <c r="C64" i="1" s="1"/>
  <c r="B63" i="1"/>
  <c r="B64" i="1" s="1"/>
  <c r="B54" i="1"/>
  <c r="E53" i="1"/>
  <c r="E54" i="1" s="1"/>
  <c r="B53" i="1"/>
  <c r="O47" i="1"/>
  <c r="B37" i="1"/>
  <c r="I48" i="1" s="1"/>
  <c r="O48" i="1" s="1"/>
  <c r="O49" i="1" s="1"/>
  <c r="H53" i="1" l="1"/>
  <c r="B67" i="1"/>
  <c r="B42" i="1"/>
  <c r="E37" i="1"/>
  <c r="H37" i="1" s="1"/>
  <c r="E42" i="1"/>
  <c r="H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Angelo Farina</author>
  </authors>
  <commentList>
    <comment ref="AD2" authorId="0" shapeId="0" xr:uid="{4C1BE525-BA48-4773-A20F-905EBF208210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" authorId="0" shapeId="0" xr:uid="{6615B81F-7427-4338-9ACB-908D5B60A1D1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2" authorId="0" shapeId="0" xr:uid="{FB2B876E-7D8D-42DA-BC8A-3424F0319F49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2" authorId="0" shapeId="0" xr:uid="{ACDEFFF5-4912-4435-87C4-9D0422759D76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" authorId="0" shapeId="0" xr:uid="{9C5965EE-9EFD-46E0-AC61-0FDEB11AADBE}">
      <text>
        <r>
          <rPr>
            <b/>
            <sz val="9"/>
            <color indexed="81"/>
            <rFont val="Tahoma"/>
            <family val="2"/>
          </rPr>
          <t>Angelo Farina: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<sst xmlns="http://schemas.openxmlformats.org/spreadsheetml/2006/main" count="169" uniqueCount="111">
  <si>
    <t>Applied Acoustic - test of 30/11/2021</t>
  </si>
  <si>
    <t>Matricula</t>
  </si>
  <si>
    <t>A</t>
  </si>
  <si>
    <t>B</t>
  </si>
  <si>
    <t>C</t>
  </si>
  <si>
    <t>D</t>
  </si>
  <si>
    <t>E</t>
  </si>
  <si>
    <t>F</t>
  </si>
  <si>
    <r>
      <t>1)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Check the sentences you think are always TRUE</t>
    </r>
  </si>
  <si>
    <t>(multiple answers allowed)</t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</si>
  <si>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Environmental noise is mostly caused by vehicles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</si>
  <si>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Environmental noise is mostly caused by factories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</si>
  <si>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differential noise limits should be verified outdoors (microphone outside the window)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</si>
  <si>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differential noise limits should be verified indoors (both with open an closed windows)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</si>
  <si>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Impact Noise limit is a maximum value (not to be exceeded)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</si>
  <si>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Impact Noise limit is a minimum value (to be reached or surpassed)</t>
    </r>
  </si>
  <si>
    <r>
      <t>2)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Along a road the traffic flow is doubled, but the speed is unchanged. The consequences are: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</si>
  <si>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distance between vehicles, a, remains constant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</si>
  <si>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distance between vehicles, a, reduces to half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</si>
  <si>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distance between vehicles, a, doubles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</si>
  <si>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maximum SPL occurring when a vehicle is just in front of the microphone does not change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</si>
  <si>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maximum SPL occurring when a vehicle is just in front of the microphone increases by 3 dB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</si>
  <si>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value of La,eq at the listener position does not change</t>
    </r>
  </si>
  <si>
    <r>
      <t>¨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The value of La,eq at the listener position increases by 3 dB</t>
    </r>
  </si>
  <si>
    <r>
      <t>3)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What is the correct definition of SEL?</t>
    </r>
  </si>
  <si>
    <t>(a single answer)</t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</si>
  <si>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maximum level when a vehicle is passing in front of the microphone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</si>
  <si>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equivalent level integrated over the duration of 1s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</si>
  <si>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a measure of the total acoustical energy associated with an event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</si>
  <si>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a measure of the total acoustical power associated with an event</t>
    </r>
  </si>
  <si>
    <r>
      <t>4)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rgb="FF202124"/>
        <rFont val="Calibri"/>
        <family val="2"/>
        <scheme val="minor"/>
      </rPr>
      <t>In a standing wave tube the difference between SPLmax and SPLmin is 3+F/4 dB. Compute the apparent absorption coefficient, α, of the sample inserted in the tube.</t>
    </r>
  </si>
  <si>
    <t>(write number and measurement unit)</t>
  </si>
  <si>
    <r>
      <t>5)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In a standing wave tube the difference between Ld and Li is 3+F/4 dB. Compute the apparent absorption coefficient, α, of the sample inserted in the tube.</t>
    </r>
  </si>
  <si>
    <t xml:space="preserve"> </t>
  </si>
  <si>
    <r>
      <t>6)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A measurement according to EN 1793/5 is performed on a noise barrier, with dsm=1.5m and dm=0.5m. The difference between the incident SPL and the reflected SPL is 3+F/4. Compute the apparent absorption coefficient, α, of the barrier.</t>
    </r>
  </si>
  <si>
    <r>
      <t>8)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>Compute the Personal Exposure Level, Lep, of a worker having the following exposure profile: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</si>
  <si>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equivalent level integrated over the duration T of an event, La,eq, plus 10*log10(T/T0), where T0 is equal to 1s</t>
    </r>
  </si>
  <si>
    <r>
      <t>¡</t>
    </r>
    <r>
      <rPr>
        <sz val="7"/>
        <color rgb="FF202124"/>
        <rFont val="Times New Roman"/>
        <family val="1"/>
      </rPr>
      <t xml:space="preserve">  </t>
    </r>
    <r>
      <rPr>
        <sz val="11"/>
        <color rgb="FF202124"/>
        <rFont val="Calibri"/>
        <family val="2"/>
        <scheme val="minor"/>
      </rPr>
      <t>It is the equivalent level integrated over the duration T of an event, La,eq, plus 10*log10(T/T0), where T0 is equal to 8h</t>
    </r>
  </si>
  <si>
    <t>Timestamp</t>
  </si>
  <si>
    <t>Email address</t>
  </si>
  <si>
    <t>Surname and Name</t>
  </si>
  <si>
    <t>1) Check the sentences you think are TRUE</t>
  </si>
  <si>
    <t>2) Along a road the traffic flow is doubled, but the speed is unchanged. The consequences are:</t>
  </si>
  <si>
    <t>3) What is the correct definition of SEL?</t>
  </si>
  <si>
    <t>4) In a standing wave tube the difference between SPLmax and SPLmin is 3+F/4 dB. Compute the apparent absorption coefficient, α, of the sample inserted in the tube.</t>
  </si>
  <si>
    <t>5) In a standing wave tube the difference between Ld and Li is 3+F/4 dB. Compute the apparent absorption coefficient, α, of the sample inserted in the tube.</t>
  </si>
  <si>
    <t>6) A measurement according to EN 1793/5 is performed on a noise barrier, with dsm=1.5m and dm=0.5m. The difference between the incident SPL and the reflected SPL is 3+F/4. Compute the apparent absorption coefficient, α, of the barrier.</t>
  </si>
  <si>
    <t>7) A reverberant room has a volume of 200+EF m3. The reverberation time of the room (empty) is 6+D/4 s. After inserting a surface S=10+E m2 of absorbing material, the new reverberation time reduces by 3s. Compute the apparent absorption coefficient, α, of the absorbing material.</t>
  </si>
  <si>
    <t>8) Compute the Personal Exposure Level, Lep, of a worker having the following exposure profile:</t>
  </si>
  <si>
    <t>giuseppe.teodoro@studenti.unipr.it</t>
  </si>
  <si>
    <t>Teodoro Giuseppe</t>
  </si>
  <si>
    <t>Environmental noise is mostly caused by factories, The differential noise limits should be verified indoors (both with open an closed windows), The Impact Noise limit is a maximum value (not to be exceeded)</t>
  </si>
  <si>
    <t>The distance between vehicles, a, reduces to half, The maximum SPL occurring when a vehicle is just in front of the microphone does not change, The value of La,eq at the listener position increases by 3 dB</t>
  </si>
  <si>
    <t>It is the equivalent level integrated over the duration T of an event, La,eq, plus 10*log10(T/T0), where T0 is equal to 1s</t>
  </si>
  <si>
    <t>0.122 m^2</t>
  </si>
  <si>
    <t>87.2 dB(A)</t>
  </si>
  <si>
    <t>marco.maffoni@studenti.unipr.it</t>
  </si>
  <si>
    <t>Maffoni Marco</t>
  </si>
  <si>
    <t>79.0 dB(A)</t>
  </si>
  <si>
    <t>matteo.cobianchi@studenti.unipr.it</t>
  </si>
  <si>
    <t>Cobianchi Matteo</t>
  </si>
  <si>
    <t>80.8 dB(A)</t>
  </si>
  <si>
    <t>felice.dagruma@studenti.unipr.it</t>
  </si>
  <si>
    <t>D'Agruma Felice</t>
  </si>
  <si>
    <t>The distance between vehicles, a, reduces to half, The value of La,eq at the listener position increases by 3 dB</t>
  </si>
  <si>
    <t>79.6 dB(A)</t>
  </si>
  <si>
    <t>nataliateresa.mazzara@studenti.unipr.it</t>
  </si>
  <si>
    <t>Mazzara Natalia</t>
  </si>
  <si>
    <t>81.1 dB(A)</t>
  </si>
  <si>
    <t>francesco.feher@studenti.unipr.it</t>
  </si>
  <si>
    <t>Feher Francesco</t>
  </si>
  <si>
    <t>80.89 dB(A)</t>
  </si>
  <si>
    <t>leonardo.miccoli@studenti.unipr.it</t>
  </si>
  <si>
    <t>Miccoli Leonardo</t>
  </si>
  <si>
    <t>78.2 dB(A)</t>
  </si>
  <si>
    <t>= Lep</t>
  </si>
  <si>
    <t>= SEL</t>
  </si>
  <si>
    <t>DeltaL =</t>
  </si>
  <si>
    <t>dB</t>
  </si>
  <si>
    <t>SWR =</t>
  </si>
  <si>
    <t>Alpha =</t>
  </si>
  <si>
    <t>I/EDc =</t>
  </si>
  <si>
    <t>dsm =</t>
  </si>
  <si>
    <t>m</t>
  </si>
  <si>
    <t>dsm' =</t>
  </si>
  <si>
    <t>SPL,dir = Lw-11-20*log10(dsm)</t>
  </si>
  <si>
    <t>SPL,rif = Lw-11-20*log10(dsm')+10*log10(1-Alpha)</t>
  </si>
  <si>
    <t>=</t>
  </si>
  <si>
    <t>Lw = SPL.dir+11+20*log10(dsm) =</t>
  </si>
  <si>
    <t>10*log10(1-Alpha) =</t>
  </si>
  <si>
    <t>Alpha = 1-10^(O48/10) =</t>
  </si>
  <si>
    <t>V=</t>
  </si>
  <si>
    <t>m3</t>
  </si>
  <si>
    <t>Te =</t>
  </si>
  <si>
    <t>s</t>
  </si>
  <si>
    <t>S =</t>
  </si>
  <si>
    <t>m2</t>
  </si>
  <si>
    <t>Ts =</t>
  </si>
  <si>
    <t>Time (h)</t>
  </si>
  <si>
    <t>Leq (dBA)</t>
  </si>
  <si>
    <t>10^(Li/10)</t>
  </si>
  <si>
    <t>Lep = 10*log10((T1*10^(L1/10)+T2*10^(L2/10)+T3*10^(L3/10)+T4*10^(L4/10))/8)</t>
  </si>
  <si>
    <t xml:space="preserve">Lep = </t>
  </si>
  <si>
    <t>dB(A)</t>
  </si>
  <si>
    <r>
      <t>7)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 xml:space="preserve">A reverberant room has a volume of 200+EF m3. The reverberation time of the room (empty) is 6+D/4 s. After inserting a surface S=10+E m2 of absorbing material, the new reverberation time reduces by 2 s. Compute the apparent absorption coefficient, α, of the absorbing material. </t>
    </r>
  </si>
  <si>
    <t>N.</t>
  </si>
  <si>
    <t>Environmental noise is mostly caused by factories, The Impact Noise limit is a maximum value (not to be exceeded), The Impact Noise limit is a minimum value (to be reached or surpassed)</t>
  </si>
  <si>
    <t>Score</t>
  </si>
  <si>
    <t>OK Value</t>
  </si>
  <si>
    <t>OK unit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</si>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</sst>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rgb="FF202124"/>
      <name val="Wingdings"/>
      <charset val="2"/>
    </font>
    <font>
      <sz val="7"/>
      <color rgb="FF202124"/>
      <name val="Times New Roman"/>
      <family val="1"/>
    </font>
    <font>
      <sz val="11"/>
      <color rgb="FF202124"/>
      <name val="Calibri"/>
      <family val="2"/>
      <scheme val="minor"/>
    </font>
    <font>
      <b/>
      <sz val="11"/>
      <color rgb="FF202124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 indent="5"/>
    </xf>
    <xf numFmtId="0" fontId="0" fillId="2" borderId="0" xfId="0" applyFill="1"/>
    <xf numFmtId="0" fontId="0" fillId="0" borderId="0" xfId="0" quotePrefix="1"/>
    <xf numFmtId="164" fontId="0" fillId="0" borderId="1" xfId="0" applyNumberFormat="1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65" fontId="1" fillId="0" borderId="8" xfId="0" applyNumberFormat="1" applyFont="1" applyBorder="1"/>
    <xf numFmtId="0" fontId="1" fillId="0" borderId="9" xfId="0" applyFont="1" applyBorder="1"/>
    <xf numFmtId="0" fontId="0" fillId="0" borderId="0" xfId="0" applyAlignment="1">
      <alignment horizontal="center"/>
    </xf>
    <xf numFmtId="0" fontId="0" fillId="0" borderId="0" xfId="0" applyAlignment="1"/>
    <xf numFmtId="0" fontId="9" fillId="0" borderId="0" xfId="0" applyFont="1" applyFill="1" applyBorder="1" applyAlignment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top"/>
    </xf>
    <xf numFmtId="22" fontId="9" fillId="0" borderId="10" xfId="0" applyNumberFormat="1" applyFont="1" applyBorder="1" applyAlignment="1">
      <alignment horizontal="righ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9" fillId="0" borderId="10" xfId="0" applyFont="1" applyBorder="1" applyAlignment="1">
      <alignment vertical="top"/>
    </xf>
    <xf numFmtId="0" fontId="0" fillId="4" borderId="10" xfId="0" applyFill="1" applyBorder="1" applyAlignment="1">
      <alignment horizontal="center" vertical="top"/>
    </xf>
    <xf numFmtId="0" fontId="9" fillId="0" borderId="10" xfId="0" applyFont="1" applyBorder="1" applyAlignment="1">
      <alignment horizontal="right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0" fontId="0" fillId="0" borderId="10" xfId="0" applyBorder="1" applyAlignment="1">
      <alignment vertical="top"/>
    </xf>
    <xf numFmtId="0" fontId="1" fillId="2" borderId="1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22" fontId="9" fillId="0" borderId="6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0" borderId="6" xfId="0" applyFont="1" applyBorder="1" applyAlignment="1">
      <alignment vertical="top"/>
    </xf>
    <xf numFmtId="0" fontId="0" fillId="4" borderId="6" xfId="0" applyFill="1" applyBorder="1" applyAlignment="1">
      <alignment horizontal="center" vertical="top"/>
    </xf>
    <xf numFmtId="0" fontId="9" fillId="0" borderId="6" xfId="0" applyFont="1" applyBorder="1" applyAlignment="1">
      <alignment horizontal="right" vertical="top"/>
    </xf>
    <xf numFmtId="164" fontId="0" fillId="0" borderId="6" xfId="0" applyNumberFormat="1" applyBorder="1" applyAlignment="1">
      <alignment vertical="top"/>
    </xf>
    <xf numFmtId="165" fontId="0" fillId="0" borderId="6" xfId="0" applyNumberFormat="1" applyBorder="1" applyAlignment="1">
      <alignment vertical="top"/>
    </xf>
    <xf numFmtId="0" fontId="0" fillId="0" borderId="6" xfId="0" applyBorder="1" applyAlignment="1">
      <alignment vertical="top"/>
    </xf>
    <xf numFmtId="0" fontId="1" fillId="2" borderId="7" xfId="0" applyFont="1" applyFill="1" applyBorder="1" applyAlignment="1">
      <alignment horizontal="center" vertical="top"/>
    </xf>
    <xf numFmtId="0" fontId="0" fillId="5" borderId="10" xfId="0" applyFill="1" applyBorder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81"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CC"/>
      <color rgb="FF99FFCC"/>
      <color rgb="FFFF9999"/>
      <color rgb="FFFFCCFF"/>
      <color rgb="FFFF99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emf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57</xdr:row>
      <xdr:rowOff>46894</xdr:rowOff>
    </xdr:from>
    <xdr:to>
      <xdr:col>7</xdr:col>
      <xdr:colOff>290146</xdr:colOff>
      <xdr:row>59</xdr:row>
      <xdr:rowOff>100234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46" y="10427679"/>
          <a:ext cx="4381500" cy="41675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123092</xdr:colOff>
      <xdr:row>7</xdr:row>
      <xdr:rowOff>87775</xdr:rowOff>
    </xdr:from>
    <xdr:to>
      <xdr:col>17</xdr:col>
      <xdr:colOff>33611</xdr:colOff>
      <xdr:row>15</xdr:row>
      <xdr:rowOff>95614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9092" y="1383175"/>
          <a:ext cx="4177719" cy="1461501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16</xdr:row>
      <xdr:rowOff>164123</xdr:rowOff>
    </xdr:from>
    <xdr:to>
      <xdr:col>17</xdr:col>
      <xdr:colOff>11723</xdr:colOff>
      <xdr:row>24</xdr:row>
      <xdr:rowOff>150780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2200" y="3094892"/>
          <a:ext cx="4202723" cy="1440319"/>
        </a:xfrm>
        <a:prstGeom prst="rect">
          <a:avLst/>
        </a:prstGeom>
      </xdr:spPr>
    </xdr:pic>
    <xdr:clientData/>
  </xdr:twoCellAnchor>
  <xdr:twoCellAnchor editAs="oneCell">
    <xdr:from>
      <xdr:col>11</xdr:col>
      <xdr:colOff>11723</xdr:colOff>
      <xdr:row>34</xdr:row>
      <xdr:rowOff>41031</xdr:rowOff>
    </xdr:from>
    <xdr:to>
      <xdr:col>17</xdr:col>
      <xdr:colOff>290697</xdr:colOff>
      <xdr:row>36</xdr:row>
      <xdr:rowOff>131718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7323" y="6242539"/>
          <a:ext cx="3936574" cy="73545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0</xdr:rowOff>
        </xdr:from>
        <xdr:to>
          <xdr:col>16</xdr:col>
          <xdr:colOff>152400</xdr:colOff>
          <xdr:row>42</xdr:row>
          <xdr:rowOff>83820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50</xdr:row>
          <xdr:rowOff>76200</xdr:rowOff>
        </xdr:from>
        <xdr:to>
          <xdr:col>14</xdr:col>
          <xdr:colOff>99060</xdr:colOff>
          <xdr:row>52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C365-703F-4780-9765-BA4F33628B5A}">
  <dimension ref="A1:P67"/>
  <sheetViews>
    <sheetView topLeftCell="A46" zoomScaleNormal="100" workbookViewId="0">
      <selection activeCell="A24" sqref="A24"/>
    </sheetView>
  </sheetViews>
  <sheetFormatPr defaultRowHeight="14.4" x14ac:dyDescent="0.3"/>
  <cols>
    <col min="2" max="2" width="12.109375" bestFit="1" customWidth="1"/>
    <col min="7" max="7" width="17.109375" customWidth="1"/>
  </cols>
  <sheetData>
    <row r="1" spans="1:10" x14ac:dyDescent="0.3">
      <c r="A1" s="7" t="s">
        <v>0</v>
      </c>
    </row>
    <row r="3" spans="1:10" ht="15" thickBot="1" x14ac:dyDescent="0.35">
      <c r="A3" t="s">
        <v>1</v>
      </c>
    </row>
    <row r="4" spans="1:10" x14ac:dyDescent="0.3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</row>
    <row r="5" spans="1:10" ht="15" thickBot="1" x14ac:dyDescent="0.35">
      <c r="A5" s="4">
        <v>1</v>
      </c>
      <c r="B5" s="5">
        <v>2</v>
      </c>
      <c r="C5" s="5">
        <v>3</v>
      </c>
      <c r="D5" s="5">
        <v>4</v>
      </c>
      <c r="E5" s="5">
        <v>5</v>
      </c>
      <c r="F5" s="6">
        <v>6</v>
      </c>
    </row>
    <row r="7" spans="1:10" x14ac:dyDescent="0.3">
      <c r="A7" s="8" t="s">
        <v>8</v>
      </c>
      <c r="E7" s="9"/>
    </row>
    <row r="8" spans="1:10" x14ac:dyDescent="0.3">
      <c r="A8" s="16" t="s">
        <v>9</v>
      </c>
      <c r="E8" s="9"/>
    </row>
    <row r="9" spans="1:10" x14ac:dyDescent="0.3">
      <c r="A9" s="17" t="s">
        <v>10</v>
      </c>
      <c r="B9" s="18"/>
      <c r="C9" s="18"/>
      <c r="D9" s="18"/>
      <c r="E9" s="18"/>
      <c r="F9" s="18"/>
    </row>
    <row r="10" spans="1:10" x14ac:dyDescent="0.3">
      <c r="A10" s="10" t="s">
        <v>11</v>
      </c>
    </row>
    <row r="11" spans="1:10" x14ac:dyDescent="0.3">
      <c r="A11" s="10" t="s">
        <v>12</v>
      </c>
    </row>
    <row r="12" spans="1:10" x14ac:dyDescent="0.3">
      <c r="A12" s="17" t="s">
        <v>13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3">
      <c r="A13" s="17" t="s">
        <v>14</v>
      </c>
      <c r="B13" s="18"/>
      <c r="C13" s="18"/>
      <c r="D13" s="18"/>
      <c r="E13" s="18"/>
      <c r="F13" s="18"/>
      <c r="G13" s="18"/>
      <c r="H13" s="18"/>
    </row>
    <row r="14" spans="1:10" x14ac:dyDescent="0.3">
      <c r="A14" s="10" t="s">
        <v>15</v>
      </c>
    </row>
    <row r="15" spans="1:10" x14ac:dyDescent="0.3">
      <c r="A15" s="12"/>
    </row>
    <row r="16" spans="1:10" x14ac:dyDescent="0.3">
      <c r="A16" s="8" t="s">
        <v>16</v>
      </c>
    </row>
    <row r="17" spans="1:14" x14ac:dyDescent="0.3">
      <c r="A17" s="16" t="s">
        <v>9</v>
      </c>
    </row>
    <row r="18" spans="1:14" x14ac:dyDescent="0.3">
      <c r="A18" s="10" t="s">
        <v>17</v>
      </c>
    </row>
    <row r="19" spans="1:14" x14ac:dyDescent="0.3">
      <c r="A19" s="17" t="s">
        <v>18</v>
      </c>
      <c r="B19" s="18"/>
      <c r="C19" s="18"/>
      <c r="D19" s="18"/>
      <c r="E19" s="18"/>
      <c r="F19" s="18"/>
      <c r="G19" s="18"/>
    </row>
    <row r="20" spans="1:14" x14ac:dyDescent="0.3">
      <c r="A20" s="10" t="s">
        <v>19</v>
      </c>
    </row>
    <row r="21" spans="1:14" x14ac:dyDescent="0.3">
      <c r="A21" s="17" t="s">
        <v>20</v>
      </c>
      <c r="B21" s="18"/>
      <c r="C21" s="18"/>
      <c r="D21" s="18"/>
      <c r="E21" s="18"/>
      <c r="F21" s="18"/>
      <c r="G21" s="18"/>
      <c r="H21" s="18"/>
      <c r="I21" s="18"/>
      <c r="J21" s="18"/>
    </row>
    <row r="22" spans="1:14" x14ac:dyDescent="0.3">
      <c r="A22" s="10" t="s">
        <v>21</v>
      </c>
    </row>
    <row r="23" spans="1:14" x14ac:dyDescent="0.3">
      <c r="A23" s="10" t="s">
        <v>22</v>
      </c>
    </row>
    <row r="24" spans="1:14" x14ac:dyDescent="0.3">
      <c r="A24" s="17" t="s">
        <v>23</v>
      </c>
      <c r="B24" s="18"/>
      <c r="C24" s="18"/>
      <c r="D24" s="18"/>
      <c r="E24" s="18"/>
      <c r="F24" s="18"/>
      <c r="G24" s="18"/>
    </row>
    <row r="25" spans="1:14" x14ac:dyDescent="0.3">
      <c r="A25" s="12"/>
    </row>
    <row r="26" spans="1:14" x14ac:dyDescent="0.3">
      <c r="A26" s="8" t="s">
        <v>24</v>
      </c>
    </row>
    <row r="27" spans="1:14" x14ac:dyDescent="0.3">
      <c r="A27" s="16" t="s">
        <v>25</v>
      </c>
      <c r="G27" s="9"/>
    </row>
    <row r="28" spans="1:14" x14ac:dyDescent="0.3">
      <c r="A28" s="10" t="s">
        <v>26</v>
      </c>
    </row>
    <row r="29" spans="1:14" x14ac:dyDescent="0.3">
      <c r="A29" s="10" t="s">
        <v>27</v>
      </c>
    </row>
    <row r="30" spans="1:14" x14ac:dyDescent="0.3">
      <c r="A30" s="17" t="s">
        <v>36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 t="s">
        <v>76</v>
      </c>
    </row>
    <row r="31" spans="1:14" x14ac:dyDescent="0.3">
      <c r="A31" s="10" t="s">
        <v>37</v>
      </c>
      <c r="N31" s="19" t="s">
        <v>75</v>
      </c>
    </row>
    <row r="32" spans="1:14" x14ac:dyDescent="0.3">
      <c r="A32" s="17" t="s">
        <v>28</v>
      </c>
      <c r="B32" s="18"/>
      <c r="C32" s="18"/>
      <c r="D32" s="18"/>
      <c r="E32" s="18"/>
      <c r="F32" s="18"/>
      <c r="G32" s="18"/>
      <c r="H32" s="18"/>
    </row>
    <row r="33" spans="1:16" x14ac:dyDescent="0.3">
      <c r="A33" s="10" t="s">
        <v>29</v>
      </c>
    </row>
    <row r="34" spans="1:16" x14ac:dyDescent="0.3">
      <c r="A34" s="13"/>
    </row>
    <row r="35" spans="1:16" ht="35.4" customHeight="1" x14ac:dyDescent="0.3">
      <c r="A35" s="63" t="s">
        <v>30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6" ht="15" thickBot="1" x14ac:dyDescent="0.35">
      <c r="A36" s="16" t="s">
        <v>31</v>
      </c>
    </row>
    <row r="37" spans="1:16" ht="15" thickBot="1" x14ac:dyDescent="0.35">
      <c r="A37" s="12" t="s">
        <v>77</v>
      </c>
      <c r="B37">
        <f>3+F5/4</f>
        <v>4.5</v>
      </c>
      <c r="C37" t="s">
        <v>78</v>
      </c>
      <c r="D37" t="s">
        <v>79</v>
      </c>
      <c r="E37">
        <f>10^(DL/20)</f>
        <v>1.6788040181225605</v>
      </c>
      <c r="G37" t="s">
        <v>80</v>
      </c>
      <c r="H37" s="20">
        <f>1-((SWR-1)/(SWR+1))^2</f>
        <v>0.93578937081922708</v>
      </c>
    </row>
    <row r="38" spans="1:16" x14ac:dyDescent="0.3">
      <c r="A38" s="12"/>
    </row>
    <row r="39" spans="1:16" x14ac:dyDescent="0.3">
      <c r="A39" s="8"/>
    </row>
    <row r="40" spans="1:16" ht="32.4" customHeight="1" x14ac:dyDescent="0.3">
      <c r="A40" s="63" t="s">
        <v>32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6" ht="15" thickBot="1" x14ac:dyDescent="0.35">
      <c r="A41" s="16" t="s">
        <v>31</v>
      </c>
      <c r="D41" s="9"/>
    </row>
    <row r="42" spans="1:16" ht="15" thickBot="1" x14ac:dyDescent="0.35">
      <c r="A42" s="12" t="s">
        <v>77</v>
      </c>
      <c r="B42">
        <f>DL</f>
        <v>4.5</v>
      </c>
      <c r="C42" t="s">
        <v>78</v>
      </c>
      <c r="D42" t="s">
        <v>81</v>
      </c>
      <c r="E42">
        <f>10^(-DL/10)</f>
        <v>0.35481338923357542</v>
      </c>
      <c r="G42" s="22" t="s">
        <v>80</v>
      </c>
      <c r="H42" s="20">
        <f>1-(1-I_EDc)/(1+I_EDc)</f>
        <v>0.52378193491916269</v>
      </c>
    </row>
    <row r="44" spans="1:16" x14ac:dyDescent="0.3">
      <c r="A44" s="11" t="s">
        <v>33</v>
      </c>
    </row>
    <row r="45" spans="1:16" ht="47.4" customHeight="1" x14ac:dyDescent="0.3">
      <c r="A45" s="63" t="s">
        <v>34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6" x14ac:dyDescent="0.3">
      <c r="A46" s="16" t="s">
        <v>31</v>
      </c>
    </row>
    <row r="47" spans="1:16" x14ac:dyDescent="0.3">
      <c r="A47" s="11" t="s">
        <v>82</v>
      </c>
      <c r="B47">
        <v>1.5</v>
      </c>
      <c r="C47" t="s">
        <v>83</v>
      </c>
      <c r="D47" t="s">
        <v>85</v>
      </c>
      <c r="H47" s="21" t="s">
        <v>87</v>
      </c>
      <c r="I47">
        <v>100</v>
      </c>
      <c r="J47" t="s">
        <v>78</v>
      </c>
      <c r="K47" t="s">
        <v>88</v>
      </c>
      <c r="O47">
        <f>SPL_dir+11+20*LOG10(dsm)</f>
        <v>114.52182518111363</v>
      </c>
      <c r="P47" t="s">
        <v>78</v>
      </c>
    </row>
    <row r="48" spans="1:16" x14ac:dyDescent="0.3">
      <c r="A48" t="s">
        <v>84</v>
      </c>
      <c r="B48">
        <f>2.5</f>
        <v>2.5</v>
      </c>
      <c r="C48" t="s">
        <v>83</v>
      </c>
      <c r="D48" t="s">
        <v>86</v>
      </c>
      <c r="H48" s="21" t="s">
        <v>87</v>
      </c>
      <c r="I48">
        <f>I47-DL</f>
        <v>95.5</v>
      </c>
      <c r="J48" t="s">
        <v>78</v>
      </c>
      <c r="K48" t="s">
        <v>89</v>
      </c>
      <c r="O48">
        <f>SPL_rif-Lw+11+20*LOG10(dsm_)</f>
        <v>-6.3025007672875333E-2</v>
      </c>
      <c r="P48" t="s">
        <v>78</v>
      </c>
    </row>
    <row r="49" spans="1:15" x14ac:dyDescent="0.3">
      <c r="K49" t="s">
        <v>90</v>
      </c>
      <c r="O49">
        <f>1-10^(O48/10)</f>
        <v>1.440725212895777E-2</v>
      </c>
    </row>
    <row r="50" spans="1:15" x14ac:dyDescent="0.3">
      <c r="A50" s="12"/>
    </row>
    <row r="51" spans="1:15" ht="45.6" customHeight="1" x14ac:dyDescent="0.3">
      <c r="A51" s="63" t="s">
        <v>104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5" ht="15" thickBot="1" x14ac:dyDescent="0.35">
      <c r="A52" s="16" t="s">
        <v>31</v>
      </c>
      <c r="B52" s="9"/>
    </row>
    <row r="53" spans="1:15" ht="15" thickBot="1" x14ac:dyDescent="0.35">
      <c r="A53" s="14" t="s">
        <v>91</v>
      </c>
      <c r="B53">
        <f>200+E5*10+F5</f>
        <v>256</v>
      </c>
      <c r="C53" t="s">
        <v>92</v>
      </c>
      <c r="D53" t="s">
        <v>93</v>
      </c>
      <c r="E53">
        <f>6+D5/4</f>
        <v>7</v>
      </c>
      <c r="F53" t="s">
        <v>94</v>
      </c>
      <c r="G53" s="22" t="s">
        <v>80</v>
      </c>
      <c r="H53" s="20">
        <f>0.16*V/S*(1/Ts-1/Te)</f>
        <v>0.15603809523809528</v>
      </c>
    </row>
    <row r="54" spans="1:15" x14ac:dyDescent="0.3">
      <c r="A54" s="11" t="s">
        <v>95</v>
      </c>
      <c r="B54">
        <f>10+E5</f>
        <v>15</v>
      </c>
      <c r="C54" t="s">
        <v>96</v>
      </c>
      <c r="D54" t="s">
        <v>97</v>
      </c>
      <c r="E54">
        <f>Te-2</f>
        <v>5</v>
      </c>
      <c r="F54" t="s">
        <v>94</v>
      </c>
    </row>
    <row r="55" spans="1:15" x14ac:dyDescent="0.3">
      <c r="A55" s="11" t="s">
        <v>33</v>
      </c>
      <c r="J55" s="11" t="s">
        <v>33</v>
      </c>
    </row>
    <row r="56" spans="1:15" x14ac:dyDescent="0.3">
      <c r="A56" s="12"/>
    </row>
    <row r="57" spans="1:15" x14ac:dyDescent="0.3">
      <c r="A57" s="8" t="s">
        <v>35</v>
      </c>
    </row>
    <row r="60" spans="1:15" x14ac:dyDescent="0.3">
      <c r="A60" s="15" t="s">
        <v>33</v>
      </c>
    </row>
    <row r="61" spans="1:15" x14ac:dyDescent="0.3">
      <c r="A61" s="11" t="s">
        <v>31</v>
      </c>
    </row>
    <row r="62" spans="1:15" x14ac:dyDescent="0.3">
      <c r="A62" t="s">
        <v>98</v>
      </c>
      <c r="B62">
        <v>2</v>
      </c>
      <c r="C62">
        <v>1</v>
      </c>
      <c r="D62">
        <v>3</v>
      </c>
      <c r="E62">
        <v>4</v>
      </c>
    </row>
    <row r="63" spans="1:15" x14ac:dyDescent="0.3">
      <c r="A63" t="s">
        <v>99</v>
      </c>
      <c r="B63">
        <f>80+C5/2</f>
        <v>81.5</v>
      </c>
      <c r="C63">
        <f>75+D5/2</f>
        <v>77</v>
      </c>
      <c r="D63">
        <f>70+E5</f>
        <v>75</v>
      </c>
      <c r="E63">
        <f>73+F5</f>
        <v>79</v>
      </c>
    </row>
    <row r="64" spans="1:15" x14ac:dyDescent="0.3">
      <c r="A64" s="19" t="s">
        <v>100</v>
      </c>
      <c r="B64">
        <f>10^(B63/10)</f>
        <v>141253754.46227598</v>
      </c>
      <c r="C64">
        <f t="shared" ref="C64:E64" si="0">10^(C63/10)</f>
        <v>50118723.362727284</v>
      </c>
      <c r="D64">
        <f t="shared" si="0"/>
        <v>31622776.601683889</v>
      </c>
      <c r="E64">
        <f t="shared" si="0"/>
        <v>79432823.472428367</v>
      </c>
    </row>
    <row r="66" spans="1:3" ht="15" thickBot="1" x14ac:dyDescent="0.35">
      <c r="A66" t="s">
        <v>101</v>
      </c>
    </row>
    <row r="67" spans="1:3" ht="15" thickBot="1" x14ac:dyDescent="0.35">
      <c r="A67" t="s">
        <v>102</v>
      </c>
      <c r="B67" s="23">
        <f>10*LOG10((B62*B64+C62*C64+D62*D64+E62*E64)/8)</f>
        <v>79.691979275569039</v>
      </c>
      <c r="C67" s="24" t="s">
        <v>103</v>
      </c>
    </row>
  </sheetData>
  <mergeCells count="4">
    <mergeCell ref="A51:K51"/>
    <mergeCell ref="A45:K45"/>
    <mergeCell ref="A40:K40"/>
    <mergeCell ref="A35:K35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32" r:id="rId4">
          <objectPr defaultSize="0" autoPict="0" r:id="rId5">
            <anchor moveWithCells="1">
              <from>
                <xdr:col>11</xdr:col>
                <xdr:colOff>0</xdr:colOff>
                <xdr:row>39</xdr:row>
                <xdr:rowOff>0</xdr:rowOff>
              </from>
              <to>
                <xdr:col>16</xdr:col>
                <xdr:colOff>152400</xdr:colOff>
                <xdr:row>42</xdr:row>
                <xdr:rowOff>83820</xdr:rowOff>
              </to>
            </anchor>
          </objectPr>
        </oleObject>
      </mc:Choice>
      <mc:Fallback>
        <oleObject shapeId="1032" r:id="rId4"/>
      </mc:Fallback>
    </mc:AlternateContent>
    <mc:AlternateContent xmlns:mc="http://schemas.openxmlformats.org/markup-compatibility/2006">
      <mc:Choice Requires="x14">
        <oleObject shapeId="1033" r:id="rId6">
          <objectPr defaultSize="0" autoPict="0" r:id="rId7">
            <anchor moveWithCells="1">
              <from>
                <xdr:col>11</xdr:col>
                <xdr:colOff>38100</xdr:colOff>
                <xdr:row>50</xdr:row>
                <xdr:rowOff>76200</xdr:rowOff>
              </from>
              <to>
                <xdr:col>14</xdr:col>
                <xdr:colOff>99060</xdr:colOff>
                <xdr:row>52</xdr:row>
                <xdr:rowOff>0</xdr:rowOff>
              </to>
            </anchor>
          </objectPr>
        </oleObject>
      </mc:Choice>
      <mc:Fallback>
        <oleObject shapeId="1033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1FEE0-F119-4417-A8C9-5AF92569016D}">
  <dimension ref="A1:BP11"/>
  <sheetViews>
    <sheetView tabSelected="1" zoomScale="90" zoomScaleNormal="9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S9" sqref="S9"/>
    </sheetView>
  </sheetViews>
  <sheetFormatPr defaultRowHeight="13.95" customHeight="1" x14ac:dyDescent="0.3"/>
  <cols>
    <col min="1" max="1" width="4.109375" style="25" customWidth="1"/>
    <col min="2" max="2" width="16.5546875" customWidth="1"/>
    <col min="3" max="3" width="34.44140625" customWidth="1"/>
    <col min="4" max="4" width="19.109375" customWidth="1"/>
    <col min="5" max="5" width="9.109375" style="25"/>
    <col min="6" max="11" width="3.5546875" style="25" customWidth="1"/>
    <col min="13" max="18" width="3" customWidth="1"/>
    <col min="20" max="26" width="2.6640625" customWidth="1"/>
    <col min="28" max="28" width="6" customWidth="1"/>
    <col min="31" max="31" width="6.109375" customWidth="1"/>
    <col min="34" max="34" width="5.6640625" customWidth="1"/>
    <col min="36" max="36" width="9.109375" customWidth="1"/>
    <col min="37" max="37" width="6.88671875" customWidth="1"/>
    <col min="38" max="38" width="9.6640625" customWidth="1"/>
    <col min="40" max="40" width="6" customWidth="1"/>
    <col min="41" max="41" width="11.109375" customWidth="1"/>
    <col min="44" max="44" width="6.44140625" customWidth="1"/>
  </cols>
  <sheetData>
    <row r="1" spans="1:68" s="11" customFormat="1" ht="13.95" customHeight="1" x14ac:dyDescent="0.3">
      <c r="A1" s="28" t="s">
        <v>105</v>
      </c>
      <c r="B1" s="29" t="s">
        <v>38</v>
      </c>
      <c r="C1" s="29" t="s">
        <v>39</v>
      </c>
      <c r="D1" s="29" t="s">
        <v>40</v>
      </c>
      <c r="E1" s="30" t="s">
        <v>1</v>
      </c>
      <c r="F1" s="30" t="s">
        <v>2</v>
      </c>
      <c r="G1" s="30" t="s">
        <v>3</v>
      </c>
      <c r="H1" s="30" t="s">
        <v>4</v>
      </c>
      <c r="I1" s="30" t="s">
        <v>5</v>
      </c>
      <c r="J1" s="30" t="s">
        <v>6</v>
      </c>
      <c r="K1" s="30" t="s">
        <v>7</v>
      </c>
      <c r="L1" s="29" t="s">
        <v>41</v>
      </c>
      <c r="M1" s="30">
        <v>1</v>
      </c>
      <c r="N1" s="30">
        <v>-1</v>
      </c>
      <c r="O1" s="30">
        <v>-1</v>
      </c>
      <c r="P1" s="30">
        <v>1</v>
      </c>
      <c r="Q1" s="30">
        <v>1</v>
      </c>
      <c r="R1" s="30">
        <v>-1</v>
      </c>
      <c r="S1" s="29" t="s">
        <v>42</v>
      </c>
      <c r="T1" s="30">
        <v>-1</v>
      </c>
      <c r="U1" s="30">
        <v>1</v>
      </c>
      <c r="V1" s="30">
        <v>-1</v>
      </c>
      <c r="W1" s="30">
        <v>1</v>
      </c>
      <c r="X1" s="30">
        <v>-1</v>
      </c>
      <c r="Y1" s="30">
        <v>-1</v>
      </c>
      <c r="Z1" s="30">
        <v>1</v>
      </c>
      <c r="AA1" s="29" t="s">
        <v>43</v>
      </c>
      <c r="AB1" s="30" t="s">
        <v>107</v>
      </c>
      <c r="AC1" s="29" t="s">
        <v>44</v>
      </c>
      <c r="AD1" s="30" t="s">
        <v>108</v>
      </c>
      <c r="AE1" s="30" t="s">
        <v>107</v>
      </c>
      <c r="AF1" s="29" t="s">
        <v>45</v>
      </c>
      <c r="AG1" s="30" t="s">
        <v>108</v>
      </c>
      <c r="AH1" s="30" t="s">
        <v>107</v>
      </c>
      <c r="AI1" s="29" t="s">
        <v>46</v>
      </c>
      <c r="AJ1" s="30" t="s">
        <v>108</v>
      </c>
      <c r="AK1" s="30" t="s">
        <v>107</v>
      </c>
      <c r="AL1" s="29" t="s">
        <v>47</v>
      </c>
      <c r="AM1" s="30" t="s">
        <v>108</v>
      </c>
      <c r="AN1" s="30" t="s">
        <v>107</v>
      </c>
      <c r="AO1" s="29" t="s">
        <v>48</v>
      </c>
      <c r="AP1" s="30" t="s">
        <v>108</v>
      </c>
      <c r="AQ1" s="30" t="s">
        <v>109</v>
      </c>
      <c r="AR1" s="30" t="s">
        <v>107</v>
      </c>
      <c r="AS1" s="31" t="s">
        <v>110</v>
      </c>
    </row>
    <row r="2" spans="1:68" s="46" customFormat="1" ht="13.95" customHeight="1" x14ac:dyDescent="0.3">
      <c r="A2" s="32">
        <v>1</v>
      </c>
      <c r="B2" s="33">
        <v>44530.395543981482</v>
      </c>
      <c r="C2" s="34" t="s">
        <v>49</v>
      </c>
      <c r="D2" s="35" t="s">
        <v>50</v>
      </c>
      <c r="E2" s="36">
        <v>322683</v>
      </c>
      <c r="F2" s="37">
        <f t="shared" ref="F2" si="0">INT(E2/100000)</f>
        <v>3</v>
      </c>
      <c r="G2" s="37">
        <f t="shared" ref="G2" si="1">INT(($E2-100000*F2)/10000)</f>
        <v>2</v>
      </c>
      <c r="H2" s="37">
        <f t="shared" ref="H2" si="2">INT(($E2-100000*F2-10000*G2)/1000)</f>
        <v>2</v>
      </c>
      <c r="I2" s="37">
        <f t="shared" ref="I2:I8" si="3">INT(($E2-100000*$F2-10000*$G2-1000*$H2)/100)</f>
        <v>6</v>
      </c>
      <c r="J2" s="37">
        <f t="shared" ref="J2:J8" si="4">INT(($E2-100000*$F2-10000*$G2-1000*$H2-100*$I2)/10)</f>
        <v>8</v>
      </c>
      <c r="K2" s="37">
        <f t="shared" ref="K2:K8" si="5">INT(($E2-100000*$F2-10000*$G2-1000*$H2-100*$I2-10*$J2))</f>
        <v>3</v>
      </c>
      <c r="L2" s="35" t="s">
        <v>51</v>
      </c>
      <c r="M2" s="38">
        <f>IF(ISERROR(FIND("vehicles",L2,1)),0,M$1)</f>
        <v>0</v>
      </c>
      <c r="N2" s="38">
        <f>IF(ISERROR(FIND("factories",L2,1)),0,N$1)</f>
        <v>-1</v>
      </c>
      <c r="O2" s="38">
        <f>IF(ISERROR(FIND("outdoors",L2,1)),0,O$1)</f>
        <v>0</v>
      </c>
      <c r="P2" s="38">
        <f>IF(ISERROR(FIND("indoors",L2,1)),0,P$1)</f>
        <v>1</v>
      </c>
      <c r="Q2" s="38">
        <f>IF(ISERROR(FIND("maximum",L2,1)),0,Q$1)</f>
        <v>1</v>
      </c>
      <c r="R2" s="38">
        <f>IF(ISERROR(FIND("minimum",L2,1)),0,R$1)</f>
        <v>0</v>
      </c>
      <c r="S2" s="39" t="s">
        <v>52</v>
      </c>
      <c r="T2" s="38">
        <f>IF(ISERROR(FIND("remains coinstant",S2,1)),0,T$1)</f>
        <v>0</v>
      </c>
      <c r="U2" s="38">
        <f>IF(ISERROR(FIND("reduces to half",S2,1)),0,U$1)</f>
        <v>1</v>
      </c>
      <c r="V2" s="38">
        <f>IF(ISERROR(FIND("doubles",S2,1)),0,V$1)</f>
        <v>0</v>
      </c>
      <c r="W2" s="38">
        <f>IF(ISERROR(FIND("The maximum SPL occurring when a vehicle is just in front of the microphone does not change",S2,1)),0,W$1)</f>
        <v>1</v>
      </c>
      <c r="X2" s="38">
        <f>IF(ISERROR(FIND("The maximum SPL occurring when a vehicle is just in front of the microphone increases by 3 dB",S2,1)),0,X$1)</f>
        <v>0</v>
      </c>
      <c r="Y2" s="38">
        <f>IF(ISERROR(FIND("The value of La,eq at the listener position does not change",S2,1)),0,Y$1)</f>
        <v>0</v>
      </c>
      <c r="Z2" s="61">
        <f>IF(ISERROR(FIND("The value of La,eq at the listener position increases by 3 dB",S2,1)),0,Z$1)</f>
        <v>1</v>
      </c>
      <c r="AA2" s="39" t="s">
        <v>53</v>
      </c>
      <c r="AB2" s="40">
        <v>1</v>
      </c>
      <c r="AC2" s="41">
        <v>0.95399999999999996</v>
      </c>
      <c r="AD2" s="42">
        <f>1-((10^((3+K2/4)/20)-1)/(10^((3+K2/4)/20)+1))^2</f>
        <v>0.95481159405983107</v>
      </c>
      <c r="AE2" s="40">
        <v>1</v>
      </c>
      <c r="AF2" s="41">
        <v>0.59299999999999997</v>
      </c>
      <c r="AG2" s="42">
        <f>1-(1-10^(-(3+K2/4)/10))/(1+10^(-(3+K2/4)/10))</f>
        <v>0.59322999305634272</v>
      </c>
      <c r="AH2" s="40">
        <v>1</v>
      </c>
      <c r="AI2" s="41">
        <v>0.68700000000000006</v>
      </c>
      <c r="AJ2" s="42">
        <f>1-10^((100-(3+K2/4)-(100+11+20*LOG10(1.5))+11+20*LOG10(2.5))/10)</f>
        <v>-0.17137917619050547</v>
      </c>
      <c r="AK2" s="40">
        <v>0</v>
      </c>
      <c r="AL2" s="39" t="s">
        <v>54</v>
      </c>
      <c r="AM2" s="42">
        <f>0.16*(200+J2*10+K2)/(10+J2)*(1/(4+I2/4)-1/(6+I2/4))</f>
        <v>0.12196632996633</v>
      </c>
      <c r="AN2" s="40">
        <v>0</v>
      </c>
      <c r="AO2" s="39" t="s">
        <v>55</v>
      </c>
      <c r="AP2" s="43">
        <f>10*LOG10((2*10^((80+H2/2)/10)+1*10^((75+I2/2)/10)+3*10^((70+J2)/10)+4*10^((73+K2)/10))/8)</f>
        <v>79.186926082005712</v>
      </c>
      <c r="AQ2" s="44" t="s">
        <v>103</v>
      </c>
      <c r="AR2" s="40">
        <v>0</v>
      </c>
      <c r="AS2" s="45">
        <f>SUM(M2:R2)+SUM(T2:Z2)+AB2+AE2+AH2+AK2+AN2+AR2</f>
        <v>7</v>
      </c>
    </row>
    <row r="3" spans="1:68" s="46" customFormat="1" ht="13.95" customHeight="1" x14ac:dyDescent="0.3">
      <c r="A3" s="32">
        <v>2</v>
      </c>
      <c r="B3" s="33">
        <v>44530.398425925923</v>
      </c>
      <c r="C3" s="35" t="s">
        <v>56</v>
      </c>
      <c r="D3" s="35" t="s">
        <v>57</v>
      </c>
      <c r="E3" s="47">
        <v>324363</v>
      </c>
      <c r="F3" s="37">
        <f t="shared" ref="F3:F8" si="6">INT(E3/100000)</f>
        <v>3</v>
      </c>
      <c r="G3" s="37">
        <f t="shared" ref="G3:G8" si="7">INT(($E3-100000*F3)/10000)</f>
        <v>2</v>
      </c>
      <c r="H3" s="37">
        <f t="shared" ref="H3:H8" si="8">INT(($E3-100000*F3-10000*G3)/1000)</f>
        <v>4</v>
      </c>
      <c r="I3" s="37">
        <f t="shared" si="3"/>
        <v>3</v>
      </c>
      <c r="J3" s="37">
        <f t="shared" si="4"/>
        <v>6</v>
      </c>
      <c r="K3" s="37">
        <f t="shared" si="5"/>
        <v>3</v>
      </c>
      <c r="L3" s="35" t="s">
        <v>51</v>
      </c>
      <c r="M3" s="38">
        <f t="shared" ref="M3:M8" si="9">IF(ISERROR(FIND("vehicles",L3,1)),0,M$1)</f>
        <v>0</v>
      </c>
      <c r="N3" s="38">
        <f t="shared" ref="N3:N8" si="10">IF(ISERROR(FIND("factories",L3,1)),0,N$1)</f>
        <v>-1</v>
      </c>
      <c r="O3" s="38">
        <f t="shared" ref="O3:O8" si="11">IF(ISERROR(FIND("outdoors",L3,1)),0,O$1)</f>
        <v>0</v>
      </c>
      <c r="P3" s="38">
        <f t="shared" ref="P3:P8" si="12">IF(ISERROR(FIND("indoors",L3,1)),0,P$1)</f>
        <v>1</v>
      </c>
      <c r="Q3" s="38">
        <f t="shared" ref="Q3:Q8" si="13">IF(ISERROR(FIND("maximum",L3,1)),0,Q$1)</f>
        <v>1</v>
      </c>
      <c r="R3" s="38">
        <f t="shared" ref="R3:R8" si="14">IF(ISERROR(FIND("minimum",L3,1)),0,R$1)</f>
        <v>0</v>
      </c>
      <c r="S3" s="39" t="s">
        <v>52</v>
      </c>
      <c r="T3" s="38">
        <f t="shared" ref="T3:T8" si="15">IF(ISERROR(FIND("remains coinstant",S3,1)),0,T$1)</f>
        <v>0</v>
      </c>
      <c r="U3" s="38">
        <f t="shared" ref="U3:U8" si="16">IF(ISERROR(FIND("reduces to half",S3,1)),0,U$1)</f>
        <v>1</v>
      </c>
      <c r="V3" s="38">
        <f t="shared" ref="V3:V8" si="17">IF(ISERROR(FIND("doubles",S3,1)),0,V$1)</f>
        <v>0</v>
      </c>
      <c r="W3" s="38">
        <f t="shared" ref="W3:W8" si="18">IF(ISERROR(FIND("The maximum SPL occurring when a vehicle is just in front of the microphone does not change",S3,1)),0,W$1)</f>
        <v>1</v>
      </c>
      <c r="X3" s="38">
        <f t="shared" ref="X3:X8" si="19">IF(ISERROR(FIND("The maximum SPL occurring when a vehicle is just in front of the microphone increases by 3 dB",S3,1)),0,X$1)</f>
        <v>0</v>
      </c>
      <c r="Y3" s="38">
        <f t="shared" ref="Y3:Y8" si="20">IF(ISERROR(FIND("The value of La,eq at the listener position does not change",S3,1)),0,Y$1)</f>
        <v>0</v>
      </c>
      <c r="Z3" s="61">
        <f t="shared" ref="Z3:Z8" si="21">IF(ISERROR(FIND("The value of La,eq at the listener position increases by 3 dB",S3,1)),0,Z$1)</f>
        <v>1</v>
      </c>
      <c r="AA3" s="39" t="s">
        <v>53</v>
      </c>
      <c r="AB3" s="40">
        <v>1</v>
      </c>
      <c r="AC3" s="41">
        <v>0.95</v>
      </c>
      <c r="AD3" s="42">
        <f t="shared" ref="AD3:AD8" si="22">1-((10^((3+K3/4)/20)-1)/(10^((3+K3/4)/20)+1))^2</f>
        <v>0.95481159405983107</v>
      </c>
      <c r="AE3" s="40">
        <v>1</v>
      </c>
      <c r="AF3" s="41">
        <v>0.59</v>
      </c>
      <c r="AG3" s="42">
        <f t="shared" ref="AG3:AG8" si="23">1-(1-10^(-(3+K3/4)/10))/(1+10^(-(3+K3/4)/10))</f>
        <v>0.59322999305634272</v>
      </c>
      <c r="AH3" s="40">
        <v>1</v>
      </c>
      <c r="AI3" s="41">
        <v>-0.17</v>
      </c>
      <c r="AJ3" s="42">
        <f t="shared" ref="AJ3:AJ8" si="24">1-10^((100-(3+K3/4)-(100+11+20*LOG10(1.5))+11+20*LOG10(2.5))/10)</f>
        <v>-0.17137917619050547</v>
      </c>
      <c r="AK3" s="40">
        <v>1</v>
      </c>
      <c r="AL3" s="41">
        <v>0.92</v>
      </c>
      <c r="AM3" s="42">
        <f t="shared" ref="AM3:AM8" si="25">0.16*(200+J3*10+K3)/(10+J3)*(1/(4+I3/4)-1/(6+I3/4))</f>
        <v>0.16405458089668615</v>
      </c>
      <c r="AN3" s="40">
        <v>0</v>
      </c>
      <c r="AO3" s="39" t="s">
        <v>58</v>
      </c>
      <c r="AP3" s="43">
        <f t="shared" ref="AP3:AP8" si="26">10*LOG10((2*10^((80+H3/2)/10)+1*10^((75+I3/2)/10)+3*10^((70+J3)/10)+4*10^((73+K3)/10))/8)</f>
        <v>79.033084480484874</v>
      </c>
      <c r="AQ3" s="44" t="s">
        <v>103</v>
      </c>
      <c r="AR3" s="40">
        <v>1</v>
      </c>
      <c r="AS3" s="45">
        <f t="shared" ref="AS3:AS8" si="27">SUM(M3:R3)+SUM(T3:Z3)+AB3+AE3+AH3+AK3+AN3+AR3</f>
        <v>9</v>
      </c>
    </row>
    <row r="4" spans="1:68" s="46" customFormat="1" ht="13.95" customHeight="1" x14ac:dyDescent="0.3">
      <c r="A4" s="32">
        <v>3</v>
      </c>
      <c r="B4" s="33">
        <v>44530.399247685185</v>
      </c>
      <c r="C4" s="35" t="s">
        <v>59</v>
      </c>
      <c r="D4" s="35" t="s">
        <v>60</v>
      </c>
      <c r="E4" s="47">
        <v>329845</v>
      </c>
      <c r="F4" s="37">
        <f t="shared" si="6"/>
        <v>3</v>
      </c>
      <c r="G4" s="37">
        <f t="shared" si="7"/>
        <v>2</v>
      </c>
      <c r="H4" s="37">
        <f t="shared" si="8"/>
        <v>9</v>
      </c>
      <c r="I4" s="37">
        <f t="shared" si="3"/>
        <v>8</v>
      </c>
      <c r="J4" s="37">
        <f t="shared" si="4"/>
        <v>4</v>
      </c>
      <c r="K4" s="37">
        <f t="shared" si="5"/>
        <v>5</v>
      </c>
      <c r="L4" s="35" t="s">
        <v>106</v>
      </c>
      <c r="M4" s="38">
        <f t="shared" si="9"/>
        <v>0</v>
      </c>
      <c r="N4" s="38">
        <f t="shared" si="10"/>
        <v>-1</v>
      </c>
      <c r="O4" s="38">
        <f t="shared" si="11"/>
        <v>0</v>
      </c>
      <c r="P4" s="38">
        <v>1</v>
      </c>
      <c r="Q4" s="38">
        <f t="shared" si="13"/>
        <v>1</v>
      </c>
      <c r="R4" s="38">
        <v>0</v>
      </c>
      <c r="S4" s="39" t="s">
        <v>52</v>
      </c>
      <c r="T4" s="38">
        <f t="shared" si="15"/>
        <v>0</v>
      </c>
      <c r="U4" s="38">
        <f t="shared" si="16"/>
        <v>1</v>
      </c>
      <c r="V4" s="38">
        <f t="shared" si="17"/>
        <v>0</v>
      </c>
      <c r="W4" s="38">
        <f t="shared" si="18"/>
        <v>1</v>
      </c>
      <c r="X4" s="38">
        <f t="shared" si="19"/>
        <v>0</v>
      </c>
      <c r="Y4" s="38">
        <f t="shared" si="20"/>
        <v>0</v>
      </c>
      <c r="Z4" s="61">
        <f t="shared" si="21"/>
        <v>1</v>
      </c>
      <c r="AA4" s="39" t="s">
        <v>53</v>
      </c>
      <c r="AB4" s="40">
        <v>1</v>
      </c>
      <c r="AC4" s="41">
        <v>0.94</v>
      </c>
      <c r="AD4" s="42">
        <f t="shared" si="22"/>
        <v>0.94245628156221095</v>
      </c>
      <c r="AE4" s="40">
        <v>1</v>
      </c>
      <c r="AF4" s="41">
        <v>0.54</v>
      </c>
      <c r="AG4" s="42">
        <f t="shared" si="23"/>
        <v>0.54633985544653774</v>
      </c>
      <c r="AH4" s="40">
        <v>1</v>
      </c>
      <c r="AI4" s="41">
        <v>-0.59</v>
      </c>
      <c r="AJ4" s="42">
        <f t="shared" si="24"/>
        <v>-4.3992789690121992E-2</v>
      </c>
      <c r="AK4" s="40">
        <v>0</v>
      </c>
      <c r="AL4" s="41">
        <v>0.12</v>
      </c>
      <c r="AM4" s="42">
        <f t="shared" si="25"/>
        <v>0.11666666666666665</v>
      </c>
      <c r="AN4" s="40">
        <v>1</v>
      </c>
      <c r="AO4" s="39" t="s">
        <v>61</v>
      </c>
      <c r="AP4" s="43">
        <f t="shared" si="26"/>
        <v>80.840616739901151</v>
      </c>
      <c r="AQ4" s="44" t="s">
        <v>103</v>
      </c>
      <c r="AR4" s="40">
        <v>1</v>
      </c>
      <c r="AS4" s="45">
        <f t="shared" si="27"/>
        <v>9</v>
      </c>
    </row>
    <row r="5" spans="1:68" s="46" customFormat="1" ht="13.95" customHeight="1" x14ac:dyDescent="0.3">
      <c r="A5" s="32">
        <v>4</v>
      </c>
      <c r="B5" s="33">
        <v>44530.399965277778</v>
      </c>
      <c r="C5" s="35" t="s">
        <v>62</v>
      </c>
      <c r="D5" s="35" t="s">
        <v>63</v>
      </c>
      <c r="E5" s="47">
        <v>325905</v>
      </c>
      <c r="F5" s="37">
        <f t="shared" si="6"/>
        <v>3</v>
      </c>
      <c r="G5" s="37">
        <f t="shared" si="7"/>
        <v>2</v>
      </c>
      <c r="H5" s="37">
        <f t="shared" si="8"/>
        <v>5</v>
      </c>
      <c r="I5" s="37">
        <f t="shared" si="3"/>
        <v>9</v>
      </c>
      <c r="J5" s="37">
        <f t="shared" si="4"/>
        <v>0</v>
      </c>
      <c r="K5" s="37">
        <f t="shared" si="5"/>
        <v>5</v>
      </c>
      <c r="L5" s="35" t="s">
        <v>51</v>
      </c>
      <c r="M5" s="38">
        <f t="shared" si="9"/>
        <v>0</v>
      </c>
      <c r="N5" s="38">
        <f t="shared" si="10"/>
        <v>-1</v>
      </c>
      <c r="O5" s="38">
        <f t="shared" si="11"/>
        <v>0</v>
      </c>
      <c r="P5" s="38">
        <f t="shared" si="12"/>
        <v>1</v>
      </c>
      <c r="Q5" s="38">
        <f t="shared" si="13"/>
        <v>1</v>
      </c>
      <c r="R5" s="38">
        <f t="shared" si="14"/>
        <v>0</v>
      </c>
      <c r="S5" s="39" t="s">
        <v>64</v>
      </c>
      <c r="T5" s="38">
        <f t="shared" si="15"/>
        <v>0</v>
      </c>
      <c r="U5" s="38">
        <f t="shared" si="16"/>
        <v>1</v>
      </c>
      <c r="V5" s="38">
        <f t="shared" si="17"/>
        <v>0</v>
      </c>
      <c r="W5" s="38">
        <f t="shared" si="18"/>
        <v>0</v>
      </c>
      <c r="X5" s="38">
        <f t="shared" si="19"/>
        <v>0</v>
      </c>
      <c r="Y5" s="38">
        <f t="shared" si="20"/>
        <v>0</v>
      </c>
      <c r="Z5" s="61">
        <f t="shared" si="21"/>
        <v>1</v>
      </c>
      <c r="AA5" s="39" t="s">
        <v>53</v>
      </c>
      <c r="AB5" s="40">
        <v>1</v>
      </c>
      <c r="AC5" s="41">
        <v>0.94245000000000001</v>
      </c>
      <c r="AD5" s="42">
        <f t="shared" si="22"/>
        <v>0.94245628156221095</v>
      </c>
      <c r="AE5" s="40">
        <v>1</v>
      </c>
      <c r="AF5" s="41">
        <v>0.54630000000000001</v>
      </c>
      <c r="AG5" s="42">
        <f t="shared" si="23"/>
        <v>0.54633985544653774</v>
      </c>
      <c r="AH5" s="40">
        <v>1</v>
      </c>
      <c r="AI5" s="41">
        <v>-4.3999999999999997E-2</v>
      </c>
      <c r="AJ5" s="42">
        <f t="shared" si="24"/>
        <v>-4.3992789690121992E-2</v>
      </c>
      <c r="AK5" s="40">
        <v>1</v>
      </c>
      <c r="AL5" s="41">
        <v>0.12720000000000001</v>
      </c>
      <c r="AM5" s="42">
        <f t="shared" si="25"/>
        <v>0.12722424242424241</v>
      </c>
      <c r="AN5" s="40">
        <v>1</v>
      </c>
      <c r="AO5" s="39" t="s">
        <v>65</v>
      </c>
      <c r="AP5" s="43">
        <f t="shared" si="26"/>
        <v>79.58542331368956</v>
      </c>
      <c r="AQ5" s="44" t="s">
        <v>103</v>
      </c>
      <c r="AR5" s="40">
        <v>1</v>
      </c>
      <c r="AS5" s="45">
        <f t="shared" si="27"/>
        <v>9</v>
      </c>
    </row>
    <row r="6" spans="1:68" s="46" customFormat="1" ht="13.95" customHeight="1" x14ac:dyDescent="0.3">
      <c r="A6" s="32">
        <v>5</v>
      </c>
      <c r="B6" s="33">
        <v>44530.400011574071</v>
      </c>
      <c r="C6" s="35" t="s">
        <v>66</v>
      </c>
      <c r="D6" s="35" t="s">
        <v>67</v>
      </c>
      <c r="E6" s="47">
        <v>325758</v>
      </c>
      <c r="F6" s="37">
        <f t="shared" si="6"/>
        <v>3</v>
      </c>
      <c r="G6" s="37">
        <f t="shared" si="7"/>
        <v>2</v>
      </c>
      <c r="H6" s="37">
        <f t="shared" si="8"/>
        <v>5</v>
      </c>
      <c r="I6" s="37">
        <f t="shared" si="3"/>
        <v>7</v>
      </c>
      <c r="J6" s="37">
        <f t="shared" si="4"/>
        <v>5</v>
      </c>
      <c r="K6" s="37">
        <f t="shared" si="5"/>
        <v>8</v>
      </c>
      <c r="L6" s="35" t="s">
        <v>51</v>
      </c>
      <c r="M6" s="38">
        <f t="shared" si="9"/>
        <v>0</v>
      </c>
      <c r="N6" s="38">
        <f t="shared" si="10"/>
        <v>-1</v>
      </c>
      <c r="O6" s="38">
        <f t="shared" si="11"/>
        <v>0</v>
      </c>
      <c r="P6" s="38">
        <f t="shared" si="12"/>
        <v>1</v>
      </c>
      <c r="Q6" s="38">
        <f t="shared" si="13"/>
        <v>1</v>
      </c>
      <c r="R6" s="38">
        <f t="shared" si="14"/>
        <v>0</v>
      </c>
      <c r="S6" s="39" t="s">
        <v>64</v>
      </c>
      <c r="T6" s="38">
        <f t="shared" si="15"/>
        <v>0</v>
      </c>
      <c r="U6" s="38">
        <f t="shared" si="16"/>
        <v>1</v>
      </c>
      <c r="V6" s="38">
        <f t="shared" si="17"/>
        <v>0</v>
      </c>
      <c r="W6" s="38">
        <f t="shared" si="18"/>
        <v>0</v>
      </c>
      <c r="X6" s="38">
        <f t="shared" si="19"/>
        <v>0</v>
      </c>
      <c r="Y6" s="38">
        <f t="shared" si="20"/>
        <v>0</v>
      </c>
      <c r="Z6" s="61">
        <f t="shared" si="21"/>
        <v>1</v>
      </c>
      <c r="AA6" s="39" t="s">
        <v>53</v>
      </c>
      <c r="AB6" s="40">
        <v>1</v>
      </c>
      <c r="AC6" s="41">
        <v>0.92</v>
      </c>
      <c r="AD6" s="42">
        <f t="shared" si="22"/>
        <v>0.92152718332087125</v>
      </c>
      <c r="AE6" s="40">
        <v>1</v>
      </c>
      <c r="AF6" s="41">
        <v>0.47</v>
      </c>
      <c r="AG6" s="42">
        <f t="shared" si="23"/>
        <v>0.48050614670408442</v>
      </c>
      <c r="AH6" s="40">
        <v>1</v>
      </c>
      <c r="AI6" s="41">
        <v>0.12</v>
      </c>
      <c r="AJ6" s="42">
        <f t="shared" si="24"/>
        <v>0.12158953884211743</v>
      </c>
      <c r="AK6" s="40">
        <v>1</v>
      </c>
      <c r="AL6" s="41">
        <v>0.125</v>
      </c>
      <c r="AM6" s="42">
        <f t="shared" si="25"/>
        <v>0.12351192145862554</v>
      </c>
      <c r="AN6" s="40">
        <v>1</v>
      </c>
      <c r="AO6" s="39" t="s">
        <v>68</v>
      </c>
      <c r="AP6" s="43">
        <f t="shared" si="26"/>
        <v>81.075868258566445</v>
      </c>
      <c r="AQ6" s="44" t="s">
        <v>103</v>
      </c>
      <c r="AR6" s="40">
        <v>1</v>
      </c>
      <c r="AS6" s="45">
        <f t="shared" si="27"/>
        <v>9</v>
      </c>
    </row>
    <row r="7" spans="1:68" s="46" customFormat="1" ht="13.95" customHeight="1" x14ac:dyDescent="0.3">
      <c r="A7" s="32">
        <v>6</v>
      </c>
      <c r="B7" s="33">
        <v>44530.400185185186</v>
      </c>
      <c r="C7" s="35" t="s">
        <v>69</v>
      </c>
      <c r="D7" s="35" t="s">
        <v>70</v>
      </c>
      <c r="E7" s="47">
        <v>328027</v>
      </c>
      <c r="F7" s="37">
        <f t="shared" si="6"/>
        <v>3</v>
      </c>
      <c r="G7" s="37">
        <f t="shared" si="7"/>
        <v>2</v>
      </c>
      <c r="H7" s="37">
        <f t="shared" si="8"/>
        <v>8</v>
      </c>
      <c r="I7" s="37">
        <f t="shared" si="3"/>
        <v>0</v>
      </c>
      <c r="J7" s="37">
        <f t="shared" si="4"/>
        <v>2</v>
      </c>
      <c r="K7" s="37">
        <f t="shared" si="5"/>
        <v>7</v>
      </c>
      <c r="L7" s="35" t="s">
        <v>51</v>
      </c>
      <c r="M7" s="38">
        <f t="shared" si="9"/>
        <v>0</v>
      </c>
      <c r="N7" s="38">
        <f t="shared" si="10"/>
        <v>-1</v>
      </c>
      <c r="O7" s="38">
        <f t="shared" si="11"/>
        <v>0</v>
      </c>
      <c r="P7" s="38">
        <f t="shared" si="12"/>
        <v>1</v>
      </c>
      <c r="Q7" s="38">
        <f t="shared" si="13"/>
        <v>1</v>
      </c>
      <c r="R7" s="38">
        <f t="shared" si="14"/>
        <v>0</v>
      </c>
      <c r="S7" s="39" t="s">
        <v>52</v>
      </c>
      <c r="T7" s="38">
        <f t="shared" si="15"/>
        <v>0</v>
      </c>
      <c r="U7" s="38">
        <f t="shared" si="16"/>
        <v>1</v>
      </c>
      <c r="V7" s="38">
        <f t="shared" si="17"/>
        <v>0</v>
      </c>
      <c r="W7" s="38">
        <f t="shared" si="18"/>
        <v>1</v>
      </c>
      <c r="X7" s="38">
        <f t="shared" si="19"/>
        <v>0</v>
      </c>
      <c r="Y7" s="38">
        <f t="shared" si="20"/>
        <v>0</v>
      </c>
      <c r="Z7" s="61">
        <f t="shared" si="21"/>
        <v>1</v>
      </c>
      <c r="AA7" s="39" t="s">
        <v>53</v>
      </c>
      <c r="AB7" s="40">
        <v>1</v>
      </c>
      <c r="AC7" s="41">
        <v>0.93</v>
      </c>
      <c r="AD7" s="42">
        <f t="shared" si="22"/>
        <v>0.9288095422468855</v>
      </c>
      <c r="AE7" s="40">
        <v>1</v>
      </c>
      <c r="AF7" s="41">
        <v>0.5</v>
      </c>
      <c r="AG7" s="42">
        <f t="shared" si="23"/>
        <v>0.50183387424492865</v>
      </c>
      <c r="AH7" s="40">
        <v>1</v>
      </c>
      <c r="AI7" s="41">
        <v>7.0000000000000007E-2</v>
      </c>
      <c r="AJ7" s="42">
        <f t="shared" si="24"/>
        <v>6.9540446783812548E-2</v>
      </c>
      <c r="AK7" s="40">
        <v>1</v>
      </c>
      <c r="AL7" s="41">
        <v>0.25</v>
      </c>
      <c r="AM7" s="42">
        <f t="shared" si="25"/>
        <v>0.25222222222222229</v>
      </c>
      <c r="AN7" s="40">
        <v>1</v>
      </c>
      <c r="AO7" s="39" t="s">
        <v>71</v>
      </c>
      <c r="AP7" s="43">
        <f t="shared" si="26"/>
        <v>80.888210504940247</v>
      </c>
      <c r="AQ7" s="44" t="s">
        <v>103</v>
      </c>
      <c r="AR7" s="40">
        <v>1</v>
      </c>
      <c r="AS7" s="45">
        <f t="shared" si="27"/>
        <v>10</v>
      </c>
    </row>
    <row r="8" spans="1:68" s="46" customFormat="1" ht="13.95" customHeight="1" thickBot="1" x14ac:dyDescent="0.35">
      <c r="A8" s="48">
        <v>7</v>
      </c>
      <c r="B8" s="49">
        <v>44530.400231481479</v>
      </c>
      <c r="C8" s="50" t="s">
        <v>72</v>
      </c>
      <c r="D8" s="50" t="s">
        <v>73</v>
      </c>
      <c r="E8" s="51">
        <v>321870</v>
      </c>
      <c r="F8" s="52">
        <f t="shared" si="6"/>
        <v>3</v>
      </c>
      <c r="G8" s="52">
        <f t="shared" si="7"/>
        <v>2</v>
      </c>
      <c r="H8" s="52">
        <f t="shared" si="8"/>
        <v>1</v>
      </c>
      <c r="I8" s="52">
        <f t="shared" si="3"/>
        <v>8</v>
      </c>
      <c r="J8" s="52">
        <f t="shared" si="4"/>
        <v>7</v>
      </c>
      <c r="K8" s="52">
        <f t="shared" si="5"/>
        <v>0</v>
      </c>
      <c r="L8" s="50" t="s">
        <v>51</v>
      </c>
      <c r="M8" s="53">
        <f t="shared" si="9"/>
        <v>0</v>
      </c>
      <c r="N8" s="53">
        <f t="shared" si="10"/>
        <v>-1</v>
      </c>
      <c r="O8" s="53">
        <f t="shared" si="11"/>
        <v>0</v>
      </c>
      <c r="P8" s="53">
        <f t="shared" si="12"/>
        <v>1</v>
      </c>
      <c r="Q8" s="53">
        <f t="shared" si="13"/>
        <v>1</v>
      </c>
      <c r="R8" s="53">
        <f t="shared" si="14"/>
        <v>0</v>
      </c>
      <c r="S8" s="54" t="s">
        <v>52</v>
      </c>
      <c r="T8" s="53">
        <f t="shared" si="15"/>
        <v>0</v>
      </c>
      <c r="U8" s="53">
        <f t="shared" si="16"/>
        <v>1</v>
      </c>
      <c r="V8" s="53">
        <f t="shared" si="17"/>
        <v>0</v>
      </c>
      <c r="W8" s="53">
        <f t="shared" si="18"/>
        <v>1</v>
      </c>
      <c r="X8" s="53">
        <f t="shared" si="19"/>
        <v>0</v>
      </c>
      <c r="Y8" s="53">
        <f t="shared" si="20"/>
        <v>0</v>
      </c>
      <c r="Z8" s="62">
        <f t="shared" si="21"/>
        <v>1</v>
      </c>
      <c r="AA8" s="54" t="s">
        <v>53</v>
      </c>
      <c r="AB8" s="55">
        <v>1</v>
      </c>
      <c r="AC8" s="56">
        <v>0.97</v>
      </c>
      <c r="AD8" s="57">
        <f t="shared" si="22"/>
        <v>0.97075990378149868</v>
      </c>
      <c r="AE8" s="55">
        <v>1</v>
      </c>
      <c r="AF8" s="56">
        <v>0.66769999999999996</v>
      </c>
      <c r="AG8" s="57">
        <f t="shared" si="23"/>
        <v>0.66772115083375583</v>
      </c>
      <c r="AH8" s="55">
        <v>1</v>
      </c>
      <c r="AI8" s="56">
        <v>-0.106</v>
      </c>
      <c r="AJ8" s="57">
        <f t="shared" si="24"/>
        <v>-0.39218676007575559</v>
      </c>
      <c r="AK8" s="55">
        <v>0</v>
      </c>
      <c r="AL8" s="56">
        <v>0.95299999999999996</v>
      </c>
      <c r="AM8" s="57">
        <f t="shared" si="25"/>
        <v>0.10588235294117646</v>
      </c>
      <c r="AN8" s="55">
        <v>0</v>
      </c>
      <c r="AO8" s="54" t="s">
        <v>74</v>
      </c>
      <c r="AP8" s="58">
        <f t="shared" si="26"/>
        <v>78.244538538531785</v>
      </c>
      <c r="AQ8" s="59" t="s">
        <v>103</v>
      </c>
      <c r="AR8" s="55">
        <v>1</v>
      </c>
      <c r="AS8" s="60">
        <f t="shared" si="27"/>
        <v>8</v>
      </c>
    </row>
    <row r="9" spans="1:68" ht="13.95" customHeight="1" x14ac:dyDescent="0.3"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</row>
    <row r="10" spans="1:68" ht="13.95" customHeight="1" x14ac:dyDescent="0.3"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</row>
    <row r="11" spans="1:68" ht="13.95" customHeight="1" x14ac:dyDescent="0.3">
      <c r="L11" s="27"/>
      <c r="M11" s="27"/>
      <c r="N11" s="27"/>
      <c r="O11" s="27"/>
      <c r="P11" s="27"/>
      <c r="Q11" s="27"/>
      <c r="R11" s="27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</row>
  </sheetData>
  <conditionalFormatting sqref="M2:R8">
    <cfRule type="cellIs" dxfId="80" priority="109" operator="equal">
      <formula>0</formula>
    </cfRule>
  </conditionalFormatting>
  <conditionalFormatting sqref="M2:R8">
    <cfRule type="aboveAverage" dxfId="79" priority="112" aboveAverage="0"/>
    <cfRule type="aboveAverage" dxfId="78" priority="113"/>
  </conditionalFormatting>
  <conditionalFormatting sqref="T2:Y8">
    <cfRule type="aboveAverage" dxfId="77" priority="107" aboveAverage="0"/>
    <cfRule type="aboveAverage" dxfId="76" priority="108"/>
  </conditionalFormatting>
  <conditionalFormatting sqref="T2:Y8">
    <cfRule type="cellIs" dxfId="75" priority="106" operator="equal">
      <formula>0</formula>
    </cfRule>
  </conditionalFormatting>
  <conditionalFormatting sqref="AB2:AB8">
    <cfRule type="cellIs" dxfId="74" priority="100" operator="equal">
      <formula>0</formula>
    </cfRule>
  </conditionalFormatting>
  <conditionalFormatting sqref="AB2:AB8">
    <cfRule type="aboveAverage" dxfId="73" priority="101" aboveAverage="0"/>
    <cfRule type="aboveAverage" dxfId="72" priority="102"/>
  </conditionalFormatting>
  <conditionalFormatting sqref="AE2:AE8">
    <cfRule type="cellIs" dxfId="71" priority="94" operator="equal">
      <formula>0</formula>
    </cfRule>
  </conditionalFormatting>
  <conditionalFormatting sqref="AE2:AE8">
    <cfRule type="aboveAverage" dxfId="70" priority="95" aboveAverage="0"/>
    <cfRule type="aboveAverage" dxfId="69" priority="96"/>
  </conditionalFormatting>
  <conditionalFormatting sqref="AK2">
    <cfRule type="cellIs" dxfId="68" priority="88" operator="equal">
      <formula>0</formula>
    </cfRule>
  </conditionalFormatting>
  <conditionalFormatting sqref="AK2">
    <cfRule type="aboveAverage" dxfId="67" priority="89" aboveAverage="0"/>
    <cfRule type="aboveAverage" dxfId="66" priority="90"/>
  </conditionalFormatting>
  <conditionalFormatting sqref="AH2:AH8">
    <cfRule type="cellIs" dxfId="65" priority="82" operator="equal">
      <formula>0</formula>
    </cfRule>
  </conditionalFormatting>
  <conditionalFormatting sqref="AH2:AH8">
    <cfRule type="aboveAverage" dxfId="64" priority="83" aboveAverage="0"/>
    <cfRule type="aboveAverage" dxfId="63" priority="84"/>
  </conditionalFormatting>
  <conditionalFormatting sqref="AK3">
    <cfRule type="cellIs" dxfId="62" priority="79" operator="equal">
      <formula>0</formula>
    </cfRule>
  </conditionalFormatting>
  <conditionalFormatting sqref="AK3">
    <cfRule type="aboveAverage" dxfId="61" priority="80" aboveAverage="0"/>
    <cfRule type="aboveAverage" dxfId="60" priority="81"/>
  </conditionalFormatting>
  <conditionalFormatting sqref="AK5">
    <cfRule type="cellIs" dxfId="59" priority="76" operator="equal">
      <formula>0</formula>
    </cfRule>
  </conditionalFormatting>
  <conditionalFormatting sqref="AK5">
    <cfRule type="aboveAverage" dxfId="58" priority="77" aboveAverage="0"/>
    <cfRule type="aboveAverage" dxfId="57" priority="78"/>
  </conditionalFormatting>
  <conditionalFormatting sqref="AK6">
    <cfRule type="cellIs" dxfId="56" priority="73" operator="equal">
      <formula>0</formula>
    </cfRule>
  </conditionalFormatting>
  <conditionalFormatting sqref="AK6">
    <cfRule type="aboveAverage" dxfId="55" priority="74" aboveAverage="0"/>
    <cfRule type="aboveAverage" dxfId="54" priority="75"/>
  </conditionalFormatting>
  <conditionalFormatting sqref="AK7">
    <cfRule type="cellIs" dxfId="53" priority="70" operator="equal">
      <formula>0</formula>
    </cfRule>
  </conditionalFormatting>
  <conditionalFormatting sqref="AK7">
    <cfRule type="aboveAverage" dxfId="52" priority="71" aboveAverage="0"/>
    <cfRule type="aboveAverage" dxfId="51" priority="72"/>
  </conditionalFormatting>
  <conditionalFormatting sqref="AK4">
    <cfRule type="cellIs" dxfId="50" priority="67" operator="equal">
      <formula>0</formula>
    </cfRule>
  </conditionalFormatting>
  <conditionalFormatting sqref="AK4">
    <cfRule type="aboveAverage" dxfId="49" priority="68" aboveAverage="0"/>
    <cfRule type="aboveAverage" dxfId="48" priority="69"/>
  </conditionalFormatting>
  <conditionalFormatting sqref="AK8">
    <cfRule type="cellIs" dxfId="47" priority="64" operator="equal">
      <formula>0</formula>
    </cfRule>
  </conditionalFormatting>
  <conditionalFormatting sqref="AK8">
    <cfRule type="aboveAverage" dxfId="46" priority="65" aboveAverage="0"/>
    <cfRule type="aboveAverage" dxfId="45" priority="66"/>
  </conditionalFormatting>
  <conditionalFormatting sqref="AN4">
    <cfRule type="cellIs" dxfId="44" priority="61" operator="equal">
      <formula>0</formula>
    </cfRule>
  </conditionalFormatting>
  <conditionalFormatting sqref="AN4">
    <cfRule type="aboveAverage" dxfId="43" priority="62" aboveAverage="0"/>
    <cfRule type="aboveAverage" dxfId="42" priority="63"/>
  </conditionalFormatting>
  <conditionalFormatting sqref="AN5">
    <cfRule type="cellIs" dxfId="41" priority="58" operator="equal">
      <formula>0</formula>
    </cfRule>
  </conditionalFormatting>
  <conditionalFormatting sqref="AN5">
    <cfRule type="aboveAverage" dxfId="40" priority="59" aboveAverage="0"/>
    <cfRule type="aboveAverage" dxfId="39" priority="60"/>
  </conditionalFormatting>
  <conditionalFormatting sqref="AN6">
    <cfRule type="cellIs" dxfId="38" priority="55" operator="equal">
      <formula>0</formula>
    </cfRule>
  </conditionalFormatting>
  <conditionalFormatting sqref="AN6">
    <cfRule type="aboveAverage" dxfId="37" priority="56" aboveAverage="0"/>
    <cfRule type="aboveAverage" dxfId="36" priority="57"/>
  </conditionalFormatting>
  <conditionalFormatting sqref="AN7">
    <cfRule type="cellIs" dxfId="35" priority="52" operator="equal">
      <formula>0</formula>
    </cfRule>
  </conditionalFormatting>
  <conditionalFormatting sqref="AN7">
    <cfRule type="aboveAverage" dxfId="34" priority="53" aboveAverage="0"/>
    <cfRule type="aboveAverage" dxfId="33" priority="54"/>
  </conditionalFormatting>
  <conditionalFormatting sqref="AN3">
    <cfRule type="cellIs" dxfId="32" priority="46" operator="equal">
      <formula>0</formula>
    </cfRule>
  </conditionalFormatting>
  <conditionalFormatting sqref="AN3">
    <cfRule type="aboveAverage" dxfId="31" priority="47" aboveAverage="0"/>
    <cfRule type="aboveAverage" dxfId="30" priority="48"/>
  </conditionalFormatting>
  <conditionalFormatting sqref="AN8">
    <cfRule type="cellIs" dxfId="29" priority="43" operator="equal">
      <formula>0</formula>
    </cfRule>
  </conditionalFormatting>
  <conditionalFormatting sqref="AN8">
    <cfRule type="aboveAverage" dxfId="28" priority="44" aboveAverage="0"/>
    <cfRule type="aboveAverage" dxfId="27" priority="45"/>
  </conditionalFormatting>
  <conditionalFormatting sqref="AR3">
    <cfRule type="cellIs" dxfId="26" priority="28" operator="equal">
      <formula>0</formula>
    </cfRule>
  </conditionalFormatting>
  <conditionalFormatting sqref="AR3">
    <cfRule type="aboveAverage" dxfId="25" priority="29" aboveAverage="0"/>
    <cfRule type="aboveAverage" dxfId="24" priority="30"/>
  </conditionalFormatting>
  <conditionalFormatting sqref="AR4">
    <cfRule type="cellIs" dxfId="23" priority="25" operator="equal">
      <formula>0</formula>
    </cfRule>
  </conditionalFormatting>
  <conditionalFormatting sqref="AR4">
    <cfRule type="aboveAverage" dxfId="22" priority="26" aboveAverage="0"/>
    <cfRule type="aboveAverage" dxfId="21" priority="27"/>
  </conditionalFormatting>
  <conditionalFormatting sqref="AR5">
    <cfRule type="cellIs" dxfId="20" priority="22" operator="equal">
      <formula>0</formula>
    </cfRule>
  </conditionalFormatting>
  <conditionalFormatting sqref="AR5">
    <cfRule type="aboveAverage" dxfId="19" priority="23" aboveAverage="0"/>
    <cfRule type="aboveAverage" dxfId="18" priority="24"/>
  </conditionalFormatting>
  <conditionalFormatting sqref="AR6">
    <cfRule type="cellIs" dxfId="17" priority="19" operator="equal">
      <formula>0</formula>
    </cfRule>
  </conditionalFormatting>
  <conditionalFormatting sqref="AR6">
    <cfRule type="aboveAverage" dxfId="16" priority="20" aboveAverage="0"/>
    <cfRule type="aboveAverage" dxfId="15" priority="21"/>
  </conditionalFormatting>
  <conditionalFormatting sqref="AR7">
    <cfRule type="cellIs" dxfId="14" priority="16" operator="equal">
      <formula>0</formula>
    </cfRule>
  </conditionalFormatting>
  <conditionalFormatting sqref="AR7">
    <cfRule type="aboveAverage" dxfId="13" priority="17" aboveAverage="0"/>
    <cfRule type="aboveAverage" dxfId="12" priority="18"/>
  </conditionalFormatting>
  <conditionalFormatting sqref="AR8">
    <cfRule type="cellIs" dxfId="11" priority="13" operator="equal">
      <formula>0</formula>
    </cfRule>
  </conditionalFormatting>
  <conditionalFormatting sqref="AR8">
    <cfRule type="aboveAverage" dxfId="10" priority="14" aboveAverage="0"/>
    <cfRule type="aboveAverage" dxfId="9" priority="15"/>
  </conditionalFormatting>
  <conditionalFormatting sqref="AR2">
    <cfRule type="cellIs" dxfId="8" priority="7" operator="equal">
      <formula>0</formula>
    </cfRule>
  </conditionalFormatting>
  <conditionalFormatting sqref="AR2">
    <cfRule type="aboveAverage" dxfId="7" priority="8" aboveAverage="0"/>
    <cfRule type="aboveAverage" dxfId="6" priority="9"/>
  </conditionalFormatting>
  <conditionalFormatting sqref="AN2">
    <cfRule type="cellIs" dxfId="5" priority="4" operator="equal">
      <formula>0</formula>
    </cfRule>
  </conditionalFormatting>
  <conditionalFormatting sqref="AN2">
    <cfRule type="aboveAverage" dxfId="4" priority="5" aboveAverage="0"/>
    <cfRule type="aboveAverage" dxfId="3" priority="6"/>
  </conditionalFormatting>
  <conditionalFormatting sqref="Z2:Z8">
    <cfRule type="aboveAverage" dxfId="2" priority="2" aboveAverage="0"/>
    <cfRule type="aboveAverage" dxfId="1" priority="3"/>
  </conditionalFormatting>
  <conditionalFormatting sqref="Z2:Z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Solution</vt:lpstr>
      <vt:lpstr>Responses</vt:lpstr>
      <vt:lpstr>DL</vt:lpstr>
      <vt:lpstr>dsm</vt:lpstr>
      <vt:lpstr>dsm_</vt:lpstr>
      <vt:lpstr>I_EDc</vt:lpstr>
      <vt:lpstr>Lw</vt:lpstr>
      <vt:lpstr>S</vt:lpstr>
      <vt:lpstr>SPL_dir</vt:lpstr>
      <vt:lpstr>SPL_rif</vt:lpstr>
      <vt:lpstr>SWR</vt:lpstr>
      <vt:lpstr>Te</vt:lpstr>
      <vt:lpstr>Ts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2021-11-30T07:40:35Z</dcterms:created>
  <dcterms:modified xsi:type="dcterms:W3CDTF">2021-12-22T15:32:43Z</dcterms:modified>
</cp:coreProperties>
</file>