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Tests-2021\"/>
    </mc:Choice>
  </mc:AlternateContent>
  <xr:revisionPtr revIDLastSave="0" documentId="13_ncr:1_{CE725940-BBF8-4107-9ABB-11EF3C859DA9}" xr6:coauthVersionLast="47" xr6:coauthVersionMax="47" xr10:uidLastSave="{00000000-0000-0000-0000-000000000000}"/>
  <bookViews>
    <workbookView xWindow="-108" yWindow="-108" windowWidth="23256" windowHeight="13896" activeTab="1" xr2:uid="{E5328BBE-D03C-4DF2-A0B7-8F99260F0A6D}"/>
  </bookViews>
  <sheets>
    <sheet name="Solution" sheetId="1" r:id="rId1"/>
    <sheet name="Responses" sheetId="2" r:id="rId2"/>
  </sheets>
  <definedNames>
    <definedName name="Az">Solution!$G$33</definedName>
    <definedName name="d">Solution!$G$43</definedName>
    <definedName name="Lw">Solution!$G$55</definedName>
    <definedName name="rl">Solution!$G$49</definedName>
    <definedName name="rr">Solution!$J$49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O43" i="1"/>
  <c r="T3" i="2" l="1"/>
  <c r="U3" i="2"/>
  <c r="V3" i="2"/>
  <c r="W3" i="2"/>
  <c r="X3" i="2"/>
  <c r="Y3" i="2"/>
  <c r="Z3" i="2"/>
  <c r="T4" i="2"/>
  <c r="U4" i="2"/>
  <c r="V4" i="2"/>
  <c r="W4" i="2"/>
  <c r="X4" i="2"/>
  <c r="Y4" i="2"/>
  <c r="Z4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Z2" i="2"/>
  <c r="Y2" i="2"/>
  <c r="X2" i="2"/>
  <c r="W2" i="2"/>
  <c r="V2" i="2"/>
  <c r="U2" i="2"/>
  <c r="T2" i="2"/>
  <c r="M3" i="2"/>
  <c r="N3" i="2"/>
  <c r="O3" i="2"/>
  <c r="P3" i="2"/>
  <c r="Q3" i="2"/>
  <c r="R3" i="2"/>
  <c r="M4" i="2"/>
  <c r="N4" i="2"/>
  <c r="O4" i="2"/>
  <c r="P4" i="2"/>
  <c r="Q4" i="2"/>
  <c r="R4" i="2"/>
  <c r="M5" i="2"/>
  <c r="AX5" i="2" s="1"/>
  <c r="N5" i="2"/>
  <c r="O5" i="2"/>
  <c r="P5" i="2"/>
  <c r="Q5" i="2"/>
  <c r="R5" i="2"/>
  <c r="M6" i="2"/>
  <c r="N6" i="2"/>
  <c r="O6" i="2"/>
  <c r="P6" i="2"/>
  <c r="Q6" i="2"/>
  <c r="R6" i="2"/>
  <c r="M7" i="2"/>
  <c r="N7" i="2"/>
  <c r="O7" i="2"/>
  <c r="P7" i="2"/>
  <c r="Q7" i="2"/>
  <c r="R7" i="2"/>
  <c r="M8" i="2"/>
  <c r="N8" i="2"/>
  <c r="O8" i="2"/>
  <c r="P8" i="2"/>
  <c r="Q8" i="2"/>
  <c r="R8" i="2"/>
  <c r="R2" i="2"/>
  <c r="Q2" i="2"/>
  <c r="P2" i="2"/>
  <c r="O2" i="2"/>
  <c r="N2" i="2"/>
  <c r="M2" i="2"/>
  <c r="AX2" i="2" s="1"/>
  <c r="F8" i="2"/>
  <c r="F7" i="2"/>
  <c r="F6" i="2"/>
  <c r="F5" i="2"/>
  <c r="F4" i="2"/>
  <c r="F3" i="2"/>
  <c r="G3" i="2" s="1"/>
  <c r="F2" i="2"/>
  <c r="AX7" i="2" l="1"/>
  <c r="AX4" i="2"/>
  <c r="AX6" i="2"/>
  <c r="AX3" i="2"/>
  <c r="AX8" i="2"/>
  <c r="G6" i="2"/>
  <c r="G4" i="2"/>
  <c r="H4" i="2" s="1"/>
  <c r="G7" i="2"/>
  <c r="H7" i="2" s="1"/>
  <c r="G5" i="2"/>
  <c r="H5" i="2" s="1"/>
  <c r="I5" i="2" s="1"/>
  <c r="G2" i="2"/>
  <c r="H2" i="2" s="1"/>
  <c r="G8" i="2"/>
  <c r="H8" i="2" s="1"/>
  <c r="H3" i="2"/>
  <c r="I3" i="2" s="1"/>
  <c r="J3" i="2" s="1"/>
  <c r="AM3" i="2" l="1"/>
  <c r="H6" i="2"/>
  <c r="I6" i="2" s="1"/>
  <c r="K3" i="2"/>
  <c r="AU3" i="2" s="1"/>
  <c r="I8" i="2"/>
  <c r="J8" i="2" s="1"/>
  <c r="I7" i="2"/>
  <c r="J7" i="2" s="1"/>
  <c r="J5" i="2"/>
  <c r="I2" i="2"/>
  <c r="I4" i="2"/>
  <c r="J4" i="2" s="1"/>
  <c r="AM7" i="2" l="1"/>
  <c r="AM4" i="2"/>
  <c r="AQ3" i="2"/>
  <c r="K5" i="2"/>
  <c r="AU5" i="2" s="1"/>
  <c r="AM5" i="2"/>
  <c r="K8" i="2"/>
  <c r="AQ8" i="2" s="1"/>
  <c r="AM8" i="2"/>
  <c r="AI3" i="2"/>
  <c r="AE3" i="2"/>
  <c r="AE8" i="2"/>
  <c r="J2" i="2"/>
  <c r="J6" i="2"/>
  <c r="K4" i="2"/>
  <c r="AU4" i="2" s="1"/>
  <c r="K7" i="2"/>
  <c r="AU7" i="2" s="1"/>
  <c r="AI5" i="2" l="1"/>
  <c r="AE5" i="2"/>
  <c r="AQ5" i="2"/>
  <c r="AI8" i="2"/>
  <c r="AU8" i="2"/>
  <c r="AQ4" i="2"/>
  <c r="AQ7" i="2"/>
  <c r="K2" i="2"/>
  <c r="AU2" i="2" s="1"/>
  <c r="AM2" i="2"/>
  <c r="K6" i="2"/>
  <c r="AU6" i="2" s="1"/>
  <c r="AM6" i="2"/>
  <c r="AI2" i="2"/>
  <c r="AE2" i="2"/>
  <c r="AI7" i="2"/>
  <c r="AE7" i="2"/>
  <c r="AI4" i="2"/>
  <c r="AE4" i="2"/>
  <c r="I58" i="1"/>
  <c r="I57" i="1"/>
  <c r="I56" i="1"/>
  <c r="I52" i="1"/>
  <c r="I51" i="1"/>
  <c r="I50" i="1"/>
  <c r="J49" i="1"/>
  <c r="G49" i="1"/>
  <c r="G43" i="1"/>
  <c r="H45" i="1" s="1"/>
  <c r="H46" i="1" s="1"/>
  <c r="G38" i="1"/>
  <c r="G33" i="1"/>
  <c r="H40" i="1" s="1"/>
  <c r="AQ2" i="2" l="1"/>
  <c r="AQ6" i="2"/>
  <c r="AI6" i="2"/>
  <c r="AE6" i="2"/>
  <c r="H34" i="1"/>
  <c r="H35" i="1" s="1"/>
  <c r="H39" i="1"/>
  <c r="L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 Farina</author>
  </authors>
  <commentList>
    <comment ref="AE2" authorId="0" shapeId="0" xr:uid="{C566DCAB-5560-4BB8-8D72-C9773847BA9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" authorId="0" shapeId="0" xr:uid="{69E3A5D0-E467-4938-916C-20A0B8D74E6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2" authorId="0" shapeId="0" xr:uid="{A1AEC42D-5F24-4F9E-84AC-043048A7AE2F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0" shapeId="0" xr:uid="{1D46BF18-7BAA-475B-9C22-822F18DDEBF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2" authorId="0" shapeId="0" xr:uid="{EA7E7A07-B196-49BA-AFC0-6ECD41E03C5B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3" authorId="0" shapeId="0" xr:uid="{973EF299-AD64-4215-A649-C0865C23D845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3" authorId="0" shapeId="0" xr:uid="{890F3983-53FF-40F2-A03C-02E98E9B4929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3" authorId="0" shapeId="0" xr:uid="{778BF147-BF2E-409C-B761-F3215A6EB77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4" authorId="0" shapeId="0" xr:uid="{DECFA35C-F6FF-4F17-A0F6-99264FD8EA1B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4" authorId="0" shapeId="0" xr:uid="{1EC232C4-B17E-4D76-8022-C637ED697115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4" authorId="0" shapeId="0" xr:uid="{69CE0269-FF23-4655-BAB2-E3F9A1DEAF2B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" authorId="0" shapeId="0" xr:uid="{CB0990E6-C70F-4914-B7F6-1CE987F22EDF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5" authorId="0" shapeId="0" xr:uid="{4B5A0418-26CC-4985-A920-D41193D023D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5" authorId="0" shapeId="0" xr:uid="{71B11ABB-7E15-4FC3-9AAB-F84C95B857E7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" authorId="0" shapeId="0" xr:uid="{1349C88C-36ED-4C96-9524-59B32FB478FF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6" authorId="0" shapeId="0" xr:uid="{0800E245-BEB5-4D1F-B1FA-DEEF43551555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6" authorId="0" shapeId="0" xr:uid="{40558BFC-D99B-4DBE-B586-7C800096F9F3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7" authorId="0" shapeId="0" xr:uid="{ACED9CFE-5639-45B8-971C-746A0287E9DF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7" authorId="0" shapeId="0" xr:uid="{430234C6-2A00-47DF-B4E0-247FBD2A8B2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7" authorId="0" shapeId="0" xr:uid="{68333A60-1748-4327-8B2C-00F3E71555C8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8" authorId="0" shapeId="0" xr:uid="{4C3E3DA0-CE63-4326-9D33-3C6B37E6905A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8" authorId="0" shapeId="0" xr:uid="{714665FC-8729-48A7-8D50-676E6953CEAC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8" authorId="0" shapeId="0" xr:uid="{B9BC4948-A9D2-407B-9445-E6B8740E5C48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<sst xmlns="http://schemas.openxmlformats.org/spreadsheetml/2006/main" count="241" uniqueCount="145">
  <si>
    <t>Matricula</t>
  </si>
  <si>
    <t>A</t>
  </si>
  <si>
    <t>B</t>
  </si>
  <si>
    <t>C</t>
  </si>
  <si>
    <t>D</t>
  </si>
  <si>
    <t>E</t>
  </si>
  <si>
    <t>F</t>
  </si>
  <si>
    <t>Applied Acoustic - test of 14/12/2021</t>
  </si>
  <si>
    <r>
      <t>1)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Check the sentences you think are always TRUE</t>
    </r>
  </si>
  <si>
    <t>(multiple answers allowed)</t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</si>
  <si>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IIR filters are always preferable to FIR filters, as IIR is more efficient computationally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</si>
  <si>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design of IIR filters is tricky and difficult, as they can be unstable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</si>
  <si>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A modern processor can use FIR filters of any length (even millions of taps)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</si>
  <si>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Aliasing occurs when an analog-to-digital converter is operated with a limited resolution (less than 24 bits)</t>
    </r>
  </si>
  <si>
    <r>
      <t>2)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An Ambisonics multichannel audio track can be: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</si>
  <si>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recorded using a compact microphone array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</si>
  <si>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synthesized from a number of mono tracks, spatially panned in different locations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</si>
  <si>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reproduced over headphones by convolving with a proper binaural filter matrix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</si>
  <si>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reproduced over a loudspeaker rig, employing a proper decoder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</si>
  <si>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converted to any other "coincident" stereo recording, such as XY or MS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</si>
  <si>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converted to any closely-spaced stereo recording, such as ORTF or INA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</si>
  <si>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employed for feeding a Dolby Digital Surround system (5.1)</t>
    </r>
  </si>
  <si>
    <r>
      <t>3)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What is "spatial aliasing" ?</t>
    </r>
  </si>
  <si>
    <t>(a single answer)</t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</si>
  <si>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appearance of spurious peaks when the signal contains frequencies above the Nyquist frequency (half of the sampling frequency)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</si>
  <si>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appearance of the last part of an impulse response before the arrival of the direct sound, being folded back at the beginning when the IR was cut too short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</si>
  <si>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distortion of the spatial information occurring when the signal contains frequencies too large in comparison of the spacing between the microphones constituting a microphone array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</si>
  <si>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distortion of the spatial information occurring when the signal contains frequencies too large in comparison of the spacing between the loudspeakers in a WFS array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</si>
  <si>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disruption of the signal integrity caused by jitter on the sampling clock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</si>
  <si>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distortion of the waveform caused by using a converter with a limited resolution (number of bits)</t>
    </r>
  </si>
  <si>
    <r>
      <t>4)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rgb="FF202124"/>
        <rFont val="Calibri"/>
        <family val="2"/>
        <scheme val="minor"/>
      </rPr>
      <t>On ORTF stereo microphone pair is recording a sound source located at an azimuth of 30+2*F degrees from front. Compute the inter-channel time delay.</t>
    </r>
  </si>
  <si>
    <t>(write number and measurement unit)</t>
  </si>
  <si>
    <r>
      <t>5)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An Ambisonics microphone is recording a sound source located at an azimuth of 30+2*F degrees from front. Compute the level difference between channels X and Y.</t>
    </r>
  </si>
  <si>
    <t xml:space="preserve"> </t>
  </si>
  <si>
    <r>
      <t>6)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A microphone is placed 20+E cm in front of a reflecting wall. The sound is impinging on the microphone perpendicularly to the wall surface, and bounces back to the microphone, causing a nasty comb filtering effect. Compute the frequency of the first notch.</t>
    </r>
  </si>
  <si>
    <r>
      <t>7)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The sound system of a car has two speakers, and must be optimized for the driver. The distances of the two loudspeakers from the center of the driver's head are: rleft = 0.4+F/20 m, rright = 0.8 +E/25 m. Compute the delay to be applied to the left channel for aligning temporally the two signals.</t>
    </r>
  </si>
  <si>
    <r>
      <t>8)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In the same case as the previous exercise, compute the gain reduction to be applied to the left channel for aligning the amplitude of the two direct-sound signals.</t>
    </r>
  </si>
  <si>
    <t>Az =</t>
  </si>
  <si>
    <t>°</t>
  </si>
  <si>
    <t>d =</t>
  </si>
  <si>
    <t>m</t>
  </si>
  <si>
    <t>rleft =</t>
  </si>
  <si>
    <t>rright =</t>
  </si>
  <si>
    <t>Timestamp</t>
  </si>
  <si>
    <t>Email address</t>
  </si>
  <si>
    <t>Surname and Name</t>
  </si>
  <si>
    <t>1) Check the sentences you think are TRUE</t>
  </si>
  <si>
    <t>2) An Ambisonics multichannel audio track can be:</t>
  </si>
  <si>
    <t>3) What is "spatial aliasing" ?</t>
  </si>
  <si>
    <t>4) On ORTF stereo microphone pair is recording a sound source located at an azimuth of 30+2*F degrees from front. Compute the inter-channel time delay.</t>
  </si>
  <si>
    <t>5) An Ambisonics microphone is recording a sound source located at an azimuth of 30+2*F degrees from front. Compute the level difference between channels X and Y.</t>
  </si>
  <si>
    <t>6) A microphone is placed 20+E cm in front of a reflecting wall. The sound is impinging on the microphone perpendicularly to the wall surface, and bounces back to the microphone, causing a nasty comb filtering effect. Compute the frequency of the first notch.</t>
  </si>
  <si>
    <t>7) The sound system of a car has two speakers, and must be optimized for the driver. The distances of the two loudspeakers from the center of the driver's head are: rleft = 0.4+F/20 m, rright = 0.8 +E/25 m. Compute the delay to be applied to the left channel for aligning temporally the two signals.</t>
  </si>
  <si>
    <t>8) In the same case as the previous exercise, compute the gain reduction to be applied to the left channel for aligning the amplitudes of the two direct-sound signals.</t>
  </si>
  <si>
    <t>leonardo.miccoli@studenti.unipr.it</t>
  </si>
  <si>
    <t>Miccoli Leonardo</t>
  </si>
  <si>
    <t>The design of IIR filters is tricky and difficult, as they can be unstable, The design of FIR filters is simple, and they are always stable, A modern processor can use FIR filters of any length (even millions of taps)</t>
  </si>
  <si>
    <t>recorded using a compact microphone array, reproduced over a loudspeaker rig, employing a proper decoder</t>
  </si>
  <si>
    <t>It is the distortion of the spatial information occurring when the signal contains frequencies too large in comparison of the spacing between the loudspeakers in a WFS array</t>
  </si>
  <si>
    <t>1.1547 s</t>
  </si>
  <si>
    <t>-1.249 dB</t>
  </si>
  <si>
    <t>629.63 Hz</t>
  </si>
  <si>
    <t>0.002 s</t>
  </si>
  <si>
    <t>-2.49 dB</t>
  </si>
  <si>
    <t>14/12/2021 09:48:11</t>
  </si>
  <si>
    <t>giuseppe.teodoro@studenti.unipr.it</t>
  </si>
  <si>
    <t>Teodoro Giuseppe</t>
  </si>
  <si>
    <t>1.10 ms</t>
  </si>
  <si>
    <t>-1.84 dB</t>
  </si>
  <si>
    <t>607.14 Hz</t>
  </si>
  <si>
    <t>1.08 ms</t>
  </si>
  <si>
    <t>-2,5 dB</t>
  </si>
  <si>
    <t>14/12/2021 09:48:23</t>
  </si>
  <si>
    <t>felice.dagruma@studenti.unipr.it</t>
  </si>
  <si>
    <t>D'Agruma Felice</t>
  </si>
  <si>
    <t>1.3054 s</t>
  </si>
  <si>
    <t>-2.31 dB</t>
  </si>
  <si>
    <t>850 Hz</t>
  </si>
  <si>
    <t>0.00041 s</t>
  </si>
  <si>
    <t>-2.498 dB</t>
  </si>
  <si>
    <t>14/12/2021 09:48:30</t>
  </si>
  <si>
    <t>matteo.cobianchi@studenti.unipr.it</t>
  </si>
  <si>
    <t>Cobianchi Matteo</t>
  </si>
  <si>
    <t>1.30 s</t>
  </si>
  <si>
    <t>-2.315 dB</t>
  </si>
  <si>
    <t>708.33 Hz</t>
  </si>
  <si>
    <t>0.91 ms</t>
  </si>
  <si>
    <t>-2.50 dB</t>
  </si>
  <si>
    <t>14/12/2021 09:48:49</t>
  </si>
  <si>
    <t>marcomaffoni@gmail.com</t>
  </si>
  <si>
    <t>Maffoni Marco</t>
  </si>
  <si>
    <t>1 s</t>
  </si>
  <si>
    <t>653.85 Hz</t>
  </si>
  <si>
    <t>0.00144 s</t>
  </si>
  <si>
    <t>14/12/2021 09:49:06</t>
  </si>
  <si>
    <t>nataliateresa.mazzara@studenti.unipr.it</t>
  </si>
  <si>
    <t>Mazzara Natalia Teresa</t>
  </si>
  <si>
    <t>1.44 s</t>
  </si>
  <si>
    <t>-3.16 dB</t>
  </si>
  <si>
    <t>680 Hz</t>
  </si>
  <si>
    <t>0.00058 s</t>
  </si>
  <si>
    <t>14/12/2021 09:49:34</t>
  </si>
  <si>
    <t>francesco.feher@studenti.unipr.it</t>
  </si>
  <si>
    <t>Feher Francesco</t>
  </si>
  <si>
    <t>1.39 s</t>
  </si>
  <si>
    <t>-2.86 dB</t>
  </si>
  <si>
    <t>772.7273 Hz</t>
  </si>
  <si>
    <t>0.00038235 s</t>
  </si>
  <si>
    <t>-2.4988 dB</t>
  </si>
  <si>
    <t>N.</t>
  </si>
  <si>
    <t>17 cm</t>
  </si>
  <si>
    <t>S</t>
  </si>
  <si>
    <t>x</t>
  </si>
  <si>
    <t>42°</t>
  </si>
  <si>
    <t>Alpha =</t>
  </si>
  <si>
    <t>a</t>
  </si>
  <si>
    <t>b</t>
  </si>
  <si>
    <t>b = d*sin(Alpha) =</t>
  </si>
  <si>
    <t>DeltaTau = b/c =</t>
  </si>
  <si>
    <t>ms</t>
  </si>
  <si>
    <t>X = cos(alpha) =</t>
  </si>
  <si>
    <t>Y = sin(alpha) =</t>
  </si>
  <si>
    <t>Delta(dB) = 20*log(X/Y) =</t>
  </si>
  <si>
    <t>dB</t>
  </si>
  <si>
    <t>d = Lambda/4</t>
  </si>
  <si>
    <t>Lambda = 4*d =</t>
  </si>
  <si>
    <t>=c/f</t>
  </si>
  <si>
    <t>f = c/lambda =</t>
  </si>
  <si>
    <t>Hz</t>
  </si>
  <si>
    <t>Delta-dist = rright-rleft =</t>
  </si>
  <si>
    <t>Delta Tau = Delta-dist/c =</t>
  </si>
  <si>
    <t>s</t>
  </si>
  <si>
    <t>Lw =</t>
  </si>
  <si>
    <t>Ll = Lw -11 -20*log10(rleft) =</t>
  </si>
  <si>
    <t>Lr = Lw -11 -20*log10(rright) =</t>
  </si>
  <si>
    <t>Gain Reduction Left =</t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</si>
  <si>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design of FIR filters is simple, and \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</si>
  <si>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A modern processor can use FIR filters \</t>
    </r>
  </si>
  <si>
    <t>Score</t>
  </si>
  <si>
    <t>OK Value</t>
  </si>
  <si>
    <t>OK unit</t>
  </si>
  <si>
    <t>2d =</t>
  </si>
  <si>
    <t>m ; Datau = 2d/c =</t>
  </si>
  <si>
    <t>samples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</si>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</sst>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rgb="FF202124"/>
      <name val="Wingdings"/>
      <charset val="2"/>
    </font>
    <font>
      <sz val="7"/>
      <color rgb="FF202124"/>
      <name val="Times New Roman"/>
      <family val="1"/>
    </font>
    <font>
      <sz val="11"/>
      <color rgb="FF202124"/>
      <name val="Calibri"/>
      <family val="2"/>
      <scheme val="minor"/>
    </font>
    <font>
      <b/>
      <sz val="11"/>
      <color rgb="FF202124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15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5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0" xfId="0" quotePrefix="1"/>
    <xf numFmtId="0" fontId="1" fillId="0" borderId="0" xfId="0" applyFont="1" applyBorder="1"/>
    <xf numFmtId="0" fontId="0" fillId="3" borderId="2" xfId="0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0" fillId="3" borderId="2" xfId="0" applyFill="1" applyBorder="1" applyAlignment="1">
      <alignment horizontal="left" vertical="center"/>
    </xf>
    <xf numFmtId="0" fontId="0" fillId="0" borderId="9" xfId="0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horizontal="center" vertical="top"/>
    </xf>
    <xf numFmtId="164" fontId="0" fillId="0" borderId="9" xfId="0" applyNumberFormat="1" applyBorder="1" applyAlignment="1">
      <alignment vertical="top"/>
    </xf>
    <xf numFmtId="0" fontId="0" fillId="0" borderId="9" xfId="0" applyBorder="1" applyAlignment="1">
      <alignment vertical="top"/>
    </xf>
    <xf numFmtId="165" fontId="0" fillId="0" borderId="9" xfId="0" applyNumberFormat="1" applyBorder="1" applyAlignment="1">
      <alignment vertical="top"/>
    </xf>
    <xf numFmtId="2" fontId="0" fillId="0" borderId="9" xfId="0" applyNumberFormat="1" applyBorder="1" applyAlignment="1">
      <alignment vertical="top"/>
    </xf>
    <xf numFmtId="0" fontId="1" fillId="3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22" fontId="9" fillId="0" borderId="9" xfId="0" applyNumberFormat="1" applyFont="1" applyBorder="1" applyAlignment="1">
      <alignment horizontal="right"/>
    </xf>
    <xf numFmtId="0" fontId="9" fillId="0" borderId="9" xfId="0" applyFont="1" applyBorder="1" applyAlignment="1"/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165" fontId="0" fillId="0" borderId="5" xfId="0" applyNumberFormat="1" applyBorder="1" applyAlignment="1">
      <alignment vertical="top"/>
    </xf>
    <xf numFmtId="0" fontId="0" fillId="0" borderId="5" xfId="0" applyBorder="1" applyAlignment="1">
      <alignment vertical="top"/>
    </xf>
    <xf numFmtId="164" fontId="0" fillId="0" borderId="5" xfId="0" applyNumberFormat="1" applyBorder="1" applyAlignment="1">
      <alignment vertical="top"/>
    </xf>
    <xf numFmtId="2" fontId="0" fillId="0" borderId="5" xfId="0" applyNumberFormat="1" applyBorder="1" applyAlignment="1">
      <alignment vertical="top"/>
    </xf>
  </cellXfs>
  <cellStyles count="1"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539262</xdr:colOff>
      <xdr:row>34</xdr:row>
      <xdr:rowOff>152400</xdr:rowOff>
    </xdr:from>
    <xdr:to>
      <xdr:col>18</xdr:col>
      <xdr:colOff>23446</xdr:colOff>
      <xdr:row>35</xdr:row>
      <xdr:rowOff>58616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C1C7A22-4BF5-4724-8C1B-6164D836F1D5}"/>
            </a:ext>
          </a:extLst>
        </xdr:cNvPr>
        <xdr:cNvSpPr/>
      </xdr:nvSpPr>
      <xdr:spPr>
        <a:xfrm>
          <a:off x="10902462" y="6582508"/>
          <a:ext cx="93784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580293</xdr:colOff>
      <xdr:row>34</xdr:row>
      <xdr:rowOff>134815</xdr:rowOff>
    </xdr:from>
    <xdr:to>
      <xdr:col>19</xdr:col>
      <xdr:colOff>64477</xdr:colOff>
      <xdr:row>35</xdr:row>
      <xdr:rowOff>41031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17A1A880-7746-4B89-9CBC-C53D5A6603EF}"/>
            </a:ext>
          </a:extLst>
        </xdr:cNvPr>
        <xdr:cNvSpPr/>
      </xdr:nvSpPr>
      <xdr:spPr>
        <a:xfrm>
          <a:off x="11553093" y="6564923"/>
          <a:ext cx="93784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287215</xdr:colOff>
      <xdr:row>28</xdr:row>
      <xdr:rowOff>164123</xdr:rowOff>
    </xdr:from>
    <xdr:to>
      <xdr:col>16</xdr:col>
      <xdr:colOff>521676</xdr:colOff>
      <xdr:row>30</xdr:row>
      <xdr:rowOff>41031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3B12EBF5-CF2A-40E5-AEEE-7CE0341E105D}"/>
            </a:ext>
          </a:extLst>
        </xdr:cNvPr>
        <xdr:cNvSpPr/>
      </xdr:nvSpPr>
      <xdr:spPr>
        <a:xfrm>
          <a:off x="10040815" y="5275385"/>
          <a:ext cx="234461" cy="2403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281354</xdr:colOff>
      <xdr:row>28</xdr:row>
      <xdr:rowOff>41030</xdr:rowOff>
    </xdr:from>
    <xdr:to>
      <xdr:col>18</xdr:col>
      <xdr:colOff>298938</xdr:colOff>
      <xdr:row>35</xdr:row>
      <xdr:rowOff>5862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3290870-A4C0-4757-A72B-4575585B55EA}"/>
            </a:ext>
          </a:extLst>
        </xdr:cNvPr>
        <xdr:cNvCxnSpPr/>
      </xdr:nvCxnSpPr>
      <xdr:spPr>
        <a:xfrm flipH="1" flipV="1">
          <a:off x="11254154" y="5152292"/>
          <a:ext cx="17584" cy="14653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487340</xdr:colOff>
      <xdr:row>30</xdr:row>
      <xdr:rowOff>5837</xdr:rowOff>
    </xdr:from>
    <xdr:to>
      <xdr:col>18</xdr:col>
      <xdr:colOff>304800</xdr:colOff>
      <xdr:row>35</xdr:row>
      <xdr:rowOff>29309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CDDAA59-9F73-4D2F-B4AF-A0D9503E88CF}"/>
            </a:ext>
          </a:extLst>
        </xdr:cNvPr>
        <xdr:cNvCxnSpPr>
          <a:endCxn id="9" idx="5"/>
        </xdr:cNvCxnSpPr>
      </xdr:nvCxnSpPr>
      <xdr:spPr>
        <a:xfrm flipH="1" flipV="1">
          <a:off x="10240940" y="5480514"/>
          <a:ext cx="1036660" cy="11606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9712</xdr:colOff>
      <xdr:row>33</xdr:row>
      <xdr:rowOff>52754</xdr:rowOff>
    </xdr:from>
    <xdr:to>
      <xdr:col>18</xdr:col>
      <xdr:colOff>381000</xdr:colOff>
      <xdr:row>34</xdr:row>
      <xdr:rowOff>165276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3E46B724-243A-4BA0-B822-5DBF17059558}"/>
            </a:ext>
          </a:extLst>
        </xdr:cNvPr>
        <xdr:cNvCxnSpPr>
          <a:endCxn id="7" idx="7"/>
        </xdr:cNvCxnSpPr>
      </xdr:nvCxnSpPr>
      <xdr:spPr>
        <a:xfrm flipH="1">
          <a:off x="10982512" y="6301154"/>
          <a:ext cx="371288" cy="2942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373127</xdr:colOff>
      <xdr:row>33</xdr:row>
      <xdr:rowOff>71491</xdr:rowOff>
    </xdr:from>
    <xdr:to>
      <xdr:col>18</xdr:col>
      <xdr:colOff>594027</xdr:colOff>
      <xdr:row>34</xdr:row>
      <xdr:rowOff>147691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8B095B6-B24F-447F-9D01-609E1F95B3D2}"/>
            </a:ext>
          </a:extLst>
        </xdr:cNvPr>
        <xdr:cNvCxnSpPr>
          <a:stCxn id="8" idx="1"/>
        </xdr:cNvCxnSpPr>
      </xdr:nvCxnSpPr>
      <xdr:spPr>
        <a:xfrm flipH="1" flipV="1">
          <a:off x="11345927" y="6319891"/>
          <a:ext cx="220900" cy="2579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9712</xdr:colOff>
      <xdr:row>34</xdr:row>
      <xdr:rowOff>165276</xdr:rowOff>
    </xdr:from>
    <xdr:to>
      <xdr:col>18</xdr:col>
      <xdr:colOff>580293</xdr:colOff>
      <xdr:row>34</xdr:row>
      <xdr:rowOff>178777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162A712-5635-4E89-8FD2-188425507C4D}"/>
            </a:ext>
          </a:extLst>
        </xdr:cNvPr>
        <xdr:cNvCxnSpPr>
          <a:stCxn id="8" idx="2"/>
          <a:endCxn id="7" idx="7"/>
        </xdr:cNvCxnSpPr>
      </xdr:nvCxnSpPr>
      <xdr:spPr>
        <a:xfrm flipH="1" flipV="1">
          <a:off x="10982512" y="6595384"/>
          <a:ext cx="570581" cy="135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264160</xdr:colOff>
      <xdr:row>38</xdr:row>
      <xdr:rowOff>91440</xdr:rowOff>
    </xdr:from>
    <xdr:to>
      <xdr:col>18</xdr:col>
      <xdr:colOff>436880</xdr:colOff>
      <xdr:row>39</xdr:row>
      <xdr:rowOff>91440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C2C83384-82BD-4735-8D08-F39F04BF016A}"/>
            </a:ext>
          </a:extLst>
        </xdr:cNvPr>
        <xdr:cNvSpPr/>
      </xdr:nvSpPr>
      <xdr:spPr>
        <a:xfrm>
          <a:off x="11236960" y="7533640"/>
          <a:ext cx="172720" cy="182880"/>
        </a:xfrm>
        <a:prstGeom prst="ellipse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264160</xdr:colOff>
      <xdr:row>39</xdr:row>
      <xdr:rowOff>96520</xdr:rowOff>
    </xdr:from>
    <xdr:to>
      <xdr:col>18</xdr:col>
      <xdr:colOff>436880</xdr:colOff>
      <xdr:row>40</xdr:row>
      <xdr:rowOff>96520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3AF4BDA8-0E78-40C4-9C60-CAA216BEC8D1}"/>
            </a:ext>
          </a:extLst>
        </xdr:cNvPr>
        <xdr:cNvSpPr/>
      </xdr:nvSpPr>
      <xdr:spPr>
        <a:xfrm>
          <a:off x="11236960" y="7721600"/>
          <a:ext cx="172720" cy="182880"/>
        </a:xfrm>
        <a:prstGeom prst="ellipse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154940</xdr:colOff>
      <xdr:row>39</xdr:row>
      <xdr:rowOff>7620</xdr:rowOff>
    </xdr:from>
    <xdr:to>
      <xdr:col>18</xdr:col>
      <xdr:colOff>525780</xdr:colOff>
      <xdr:row>39</xdr:row>
      <xdr:rowOff>180340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D81DCE4A-9213-4574-9C9E-6FA04A98CC54}"/>
            </a:ext>
          </a:extLst>
        </xdr:cNvPr>
        <xdr:cNvGrpSpPr/>
      </xdr:nvGrpSpPr>
      <xdr:grpSpPr>
        <a:xfrm rot="16200000">
          <a:off x="11226800" y="7574280"/>
          <a:ext cx="172720" cy="370840"/>
          <a:chOff x="10363200" y="7442200"/>
          <a:chExt cx="172720" cy="370840"/>
        </a:xfrm>
      </xdr:grpSpPr>
      <xdr:sp macro="" textlink="">
        <xdr:nvSpPr>
          <xdr:cNvPr id="26" name="Oval 25">
            <a:extLst>
              <a:ext uri="{FF2B5EF4-FFF2-40B4-BE49-F238E27FC236}">
                <a16:creationId xmlns:a16="http://schemas.microsoft.com/office/drawing/2014/main" id="{B6DB92FA-E6C0-4B4D-A57F-A66384F29727}"/>
              </a:ext>
            </a:extLst>
          </xdr:cNvPr>
          <xdr:cNvSpPr/>
        </xdr:nvSpPr>
        <xdr:spPr>
          <a:xfrm>
            <a:off x="10363200" y="7442200"/>
            <a:ext cx="172720" cy="182880"/>
          </a:xfrm>
          <a:prstGeom prst="ellipse">
            <a:avLst/>
          </a:prstGeom>
          <a:solidFill>
            <a:schemeClr val="accent4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Oval 26">
            <a:extLst>
              <a:ext uri="{FF2B5EF4-FFF2-40B4-BE49-F238E27FC236}">
                <a16:creationId xmlns:a16="http://schemas.microsoft.com/office/drawing/2014/main" id="{96ED6162-44DE-4ABE-828C-EBAB83A9D512}"/>
              </a:ext>
            </a:extLst>
          </xdr:cNvPr>
          <xdr:cNvSpPr/>
        </xdr:nvSpPr>
        <xdr:spPr>
          <a:xfrm>
            <a:off x="10363200" y="7630160"/>
            <a:ext cx="172720" cy="182880"/>
          </a:xfrm>
          <a:prstGeom prst="ellipse">
            <a:avLst/>
          </a:prstGeom>
          <a:solidFill>
            <a:schemeClr val="accent4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oneCell">
    <xdr:from>
      <xdr:col>17</xdr:col>
      <xdr:colOff>1</xdr:colOff>
      <xdr:row>41</xdr:row>
      <xdr:rowOff>1</xdr:rowOff>
    </xdr:from>
    <xdr:to>
      <xdr:col>22</xdr:col>
      <xdr:colOff>243841</xdr:colOff>
      <xdr:row>49</xdr:row>
      <xdr:rowOff>115549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40C06D-A7DF-426F-98EC-5B1E9D1A8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1" y="8031481"/>
          <a:ext cx="3291840" cy="2320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C6D5-F931-4989-9F0F-1C9961A0D34C}">
  <dimension ref="A1:T58"/>
  <sheetViews>
    <sheetView topLeftCell="A46" zoomScale="150" zoomScaleNormal="150" workbookViewId="0">
      <selection activeCell="I57" sqref="I57"/>
    </sheetView>
  </sheetViews>
  <sheetFormatPr defaultRowHeight="14.4" x14ac:dyDescent="0.3"/>
  <sheetData>
    <row r="1" spans="1:9" x14ac:dyDescent="0.3">
      <c r="A1" s="1" t="s">
        <v>7</v>
      </c>
    </row>
    <row r="3" spans="1:9" ht="15" thickBot="1" x14ac:dyDescent="0.35">
      <c r="A3" t="s">
        <v>0</v>
      </c>
    </row>
    <row r="4" spans="1:9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9" ht="15" thickBot="1" x14ac:dyDescent="0.35">
      <c r="A5" s="5">
        <v>1</v>
      </c>
      <c r="B5" s="6">
        <v>2</v>
      </c>
      <c r="C5" s="6">
        <v>3</v>
      </c>
      <c r="D5" s="6">
        <v>4</v>
      </c>
      <c r="E5" s="6">
        <v>5</v>
      </c>
      <c r="F5" s="7">
        <v>6</v>
      </c>
    </row>
    <row r="7" spans="1:9" x14ac:dyDescent="0.3">
      <c r="A7" s="8" t="s">
        <v>8</v>
      </c>
      <c r="G7" s="9" t="s">
        <v>9</v>
      </c>
    </row>
    <row r="8" spans="1:9" x14ac:dyDescent="0.3">
      <c r="A8" s="10" t="s">
        <v>10</v>
      </c>
    </row>
    <row r="9" spans="1:9" x14ac:dyDescent="0.3">
      <c r="A9" s="17" t="s">
        <v>11</v>
      </c>
      <c r="B9" s="18"/>
      <c r="C9" s="18"/>
      <c r="D9" s="18"/>
      <c r="E9" s="18"/>
      <c r="F9" s="18"/>
      <c r="G9" s="18"/>
      <c r="H9" s="18"/>
      <c r="I9" s="18"/>
    </row>
    <row r="10" spans="1:9" x14ac:dyDescent="0.3">
      <c r="A10" s="17" t="s">
        <v>136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3">
      <c r="A11" s="10" t="s">
        <v>137</v>
      </c>
    </row>
    <row r="12" spans="1:9" x14ac:dyDescent="0.3">
      <c r="A12" s="17" t="s">
        <v>12</v>
      </c>
      <c r="B12" s="18"/>
      <c r="C12" s="18"/>
      <c r="D12" s="18"/>
      <c r="E12" s="18"/>
      <c r="F12" s="18"/>
      <c r="G12" s="18"/>
      <c r="H12" s="18"/>
      <c r="I12" s="18"/>
    </row>
    <row r="13" spans="1:9" x14ac:dyDescent="0.3">
      <c r="A13" s="10" t="s">
        <v>13</v>
      </c>
    </row>
    <row r="14" spans="1:9" x14ac:dyDescent="0.3">
      <c r="A14" s="12"/>
    </row>
    <row r="15" spans="1:9" x14ac:dyDescent="0.3">
      <c r="A15" s="8" t="s">
        <v>14</v>
      </c>
      <c r="G15" s="9" t="s">
        <v>9</v>
      </c>
    </row>
    <row r="16" spans="1:9" x14ac:dyDescent="0.3">
      <c r="A16" s="17" t="s">
        <v>15</v>
      </c>
      <c r="B16" s="18"/>
      <c r="C16" s="18"/>
      <c r="D16" s="18"/>
      <c r="E16" s="18"/>
      <c r="F16" s="18"/>
      <c r="G16" s="18"/>
      <c r="H16" s="18"/>
      <c r="I16" s="18"/>
    </row>
    <row r="17" spans="1:19" x14ac:dyDescent="0.3">
      <c r="A17" s="17" t="s">
        <v>16</v>
      </c>
      <c r="B17" s="18"/>
      <c r="C17" s="18"/>
      <c r="D17" s="18"/>
      <c r="E17" s="18"/>
      <c r="F17" s="18"/>
      <c r="G17" s="18"/>
      <c r="H17" s="18"/>
      <c r="I17" s="18"/>
    </row>
    <row r="18" spans="1:19" x14ac:dyDescent="0.3">
      <c r="A18" s="17" t="s">
        <v>17</v>
      </c>
      <c r="B18" s="18"/>
      <c r="C18" s="18"/>
      <c r="D18" s="18"/>
      <c r="E18" s="18"/>
      <c r="F18" s="18"/>
      <c r="G18" s="18"/>
      <c r="H18" s="18"/>
      <c r="I18" s="18"/>
    </row>
    <row r="19" spans="1:19" x14ac:dyDescent="0.3">
      <c r="A19" s="17" t="s">
        <v>18</v>
      </c>
      <c r="B19" s="18"/>
      <c r="C19" s="18"/>
      <c r="D19" s="18"/>
      <c r="E19" s="18"/>
      <c r="F19" s="18"/>
      <c r="G19" s="18"/>
      <c r="H19" s="18"/>
      <c r="I19" s="18"/>
    </row>
    <row r="20" spans="1:19" x14ac:dyDescent="0.3">
      <c r="A20" s="17" t="s">
        <v>19</v>
      </c>
      <c r="B20" s="18"/>
      <c r="C20" s="18"/>
      <c r="D20" s="18"/>
      <c r="E20" s="18"/>
      <c r="F20" s="18"/>
      <c r="G20" s="18"/>
      <c r="H20" s="18"/>
      <c r="I20" s="18"/>
    </row>
    <row r="21" spans="1:19" x14ac:dyDescent="0.3">
      <c r="A21" s="17" t="s">
        <v>20</v>
      </c>
      <c r="B21" s="18"/>
      <c r="C21" s="18"/>
      <c r="D21" s="18"/>
      <c r="E21" s="18"/>
      <c r="F21" s="18"/>
      <c r="G21" s="18"/>
      <c r="H21" s="18"/>
      <c r="I21" s="18"/>
    </row>
    <row r="22" spans="1:19" x14ac:dyDescent="0.3">
      <c r="A22" s="17" t="s">
        <v>21</v>
      </c>
      <c r="B22" s="18"/>
      <c r="C22" s="18"/>
      <c r="D22" s="18"/>
      <c r="E22" s="18"/>
      <c r="F22" s="18"/>
      <c r="G22" s="18"/>
      <c r="H22" s="18"/>
      <c r="I22" s="18"/>
    </row>
    <row r="23" spans="1:19" x14ac:dyDescent="0.3">
      <c r="A23" s="12"/>
    </row>
    <row r="24" spans="1:19" x14ac:dyDescent="0.3">
      <c r="A24" s="8" t="s">
        <v>22</v>
      </c>
      <c r="G24" s="9" t="s">
        <v>23</v>
      </c>
    </row>
    <row r="25" spans="1:19" x14ac:dyDescent="0.3">
      <c r="A25" s="10" t="s">
        <v>24</v>
      </c>
    </row>
    <row r="26" spans="1:19" x14ac:dyDescent="0.3">
      <c r="A26" s="10" t="s">
        <v>25</v>
      </c>
    </row>
    <row r="27" spans="1:19" x14ac:dyDescent="0.3">
      <c r="A27" s="17" t="s">
        <v>26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3">
      <c r="A28" s="17" t="s">
        <v>27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3">
      <c r="A29" s="10" t="s">
        <v>28</v>
      </c>
    </row>
    <row r="30" spans="1:19" x14ac:dyDescent="0.3">
      <c r="A30" s="10" t="s">
        <v>29</v>
      </c>
      <c r="Q30" t="s">
        <v>111</v>
      </c>
      <c r="S30" s="20" t="s">
        <v>112</v>
      </c>
    </row>
    <row r="31" spans="1:19" x14ac:dyDescent="0.3">
      <c r="A31" s="13"/>
    </row>
    <row r="32" spans="1:19" ht="32.4" customHeight="1" x14ac:dyDescent="0.3">
      <c r="A32" s="30" t="s">
        <v>30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R32" s="20" t="s">
        <v>114</v>
      </c>
      <c r="S32" t="s">
        <v>113</v>
      </c>
    </row>
    <row r="33" spans="1:20" x14ac:dyDescent="0.3">
      <c r="A33" s="9" t="s">
        <v>31</v>
      </c>
      <c r="F33" t="s">
        <v>37</v>
      </c>
      <c r="G33">
        <f>30+2*F5</f>
        <v>42</v>
      </c>
      <c r="H33" t="s">
        <v>38</v>
      </c>
    </row>
    <row r="34" spans="1:20" ht="15" thickBot="1" x14ac:dyDescent="0.35">
      <c r="A34" s="12"/>
      <c r="F34" t="s">
        <v>117</v>
      </c>
      <c r="H34">
        <f>0.17*SIN(Az/180*PI())</f>
        <v>0.11375220308100591</v>
      </c>
      <c r="I34" t="s">
        <v>40</v>
      </c>
      <c r="S34" t="s">
        <v>115</v>
      </c>
      <c r="T34" t="s">
        <v>116</v>
      </c>
    </row>
    <row r="35" spans="1:20" ht="15" thickBot="1" x14ac:dyDescent="0.35">
      <c r="A35" s="12"/>
      <c r="F35" t="s">
        <v>118</v>
      </c>
      <c r="H35" s="21">
        <f>H34/340*1000</f>
        <v>0.33456530317942912</v>
      </c>
      <c r="I35" s="22" t="s">
        <v>119</v>
      </c>
    </row>
    <row r="36" spans="1:20" x14ac:dyDescent="0.3">
      <c r="A36" s="8"/>
      <c r="S36" s="19" t="s">
        <v>110</v>
      </c>
    </row>
    <row r="37" spans="1:20" ht="33.6" customHeight="1" x14ac:dyDescent="0.3">
      <c r="A37" s="30" t="s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20" ht="15" thickBot="1" x14ac:dyDescent="0.35">
      <c r="A38" s="9" t="s">
        <v>31</v>
      </c>
      <c r="F38" t="s">
        <v>37</v>
      </c>
      <c r="G38">
        <f>Az</f>
        <v>42</v>
      </c>
      <c r="H38" t="s">
        <v>38</v>
      </c>
    </row>
    <row r="39" spans="1:20" ht="15" thickBot="1" x14ac:dyDescent="0.35">
      <c r="A39" s="11"/>
      <c r="F39" t="s">
        <v>120</v>
      </c>
      <c r="H39">
        <f>COS(Az/180*PI())</f>
        <v>0.74314482547739424</v>
      </c>
      <c r="I39" t="s">
        <v>122</v>
      </c>
      <c r="L39" s="21">
        <f>20*LOG10(H39/H40)</f>
        <v>0.91125125938569473</v>
      </c>
      <c r="M39" s="22" t="s">
        <v>123</v>
      </c>
    </row>
    <row r="40" spans="1:20" x14ac:dyDescent="0.3">
      <c r="F40" t="s">
        <v>121</v>
      </c>
      <c r="H40">
        <f>SIN(Az/180*PI())</f>
        <v>0.66913060635885824</v>
      </c>
    </row>
    <row r="41" spans="1:20" x14ac:dyDescent="0.3">
      <c r="A41" s="11" t="s">
        <v>33</v>
      </c>
    </row>
    <row r="42" spans="1:20" ht="33" customHeight="1" x14ac:dyDescent="0.3">
      <c r="A42" s="30" t="s">
        <v>34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20" x14ac:dyDescent="0.3">
      <c r="A43" s="9" t="s">
        <v>31</v>
      </c>
      <c r="F43" t="s">
        <v>39</v>
      </c>
      <c r="G43">
        <f>(20+E5)/100</f>
        <v>0.25</v>
      </c>
      <c r="H43" t="s">
        <v>40</v>
      </c>
      <c r="K43" t="s">
        <v>141</v>
      </c>
      <c r="L43">
        <v>0.5</v>
      </c>
      <c r="M43" t="s">
        <v>142</v>
      </c>
      <c r="O43">
        <f>L43/340</f>
        <v>1.4705882352941176E-3</v>
      </c>
      <c r="P43" t="s">
        <v>131</v>
      </c>
    </row>
    <row r="44" spans="1:20" x14ac:dyDescent="0.3">
      <c r="A44" s="14"/>
      <c r="F44" t="s">
        <v>124</v>
      </c>
      <c r="O44">
        <f>O43*48000</f>
        <v>70.588235294117652</v>
      </c>
      <c r="P44" t="s">
        <v>143</v>
      </c>
    </row>
    <row r="45" spans="1:20" ht="15" thickBot="1" x14ac:dyDescent="0.35">
      <c r="F45" t="s">
        <v>125</v>
      </c>
      <c r="H45">
        <f>4*d</f>
        <v>1</v>
      </c>
      <c r="I45" t="s">
        <v>40</v>
      </c>
      <c r="J45" s="23" t="s">
        <v>126</v>
      </c>
    </row>
    <row r="46" spans="1:20" ht="15" thickBot="1" x14ac:dyDescent="0.35">
      <c r="A46" s="12"/>
      <c r="F46" t="s">
        <v>127</v>
      </c>
      <c r="H46" s="21">
        <f>340/H45</f>
        <v>340</v>
      </c>
      <c r="I46" s="22" t="s">
        <v>128</v>
      </c>
    </row>
    <row r="47" spans="1:20" x14ac:dyDescent="0.3">
      <c r="A47" s="12"/>
      <c r="H47" s="24"/>
      <c r="I47" s="24"/>
    </row>
    <row r="48" spans="1:20" ht="52.2" customHeight="1" x14ac:dyDescent="0.3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x14ac:dyDescent="0.3">
      <c r="A49" s="9" t="s">
        <v>31</v>
      </c>
      <c r="F49" t="s">
        <v>41</v>
      </c>
      <c r="G49">
        <f>0.4+F5/20</f>
        <v>0.7</v>
      </c>
      <c r="H49" t="s">
        <v>40</v>
      </c>
      <c r="I49" t="s">
        <v>42</v>
      </c>
      <c r="J49">
        <f>0.8+E5/25</f>
        <v>1</v>
      </c>
      <c r="K49" t="s">
        <v>40</v>
      </c>
    </row>
    <row r="50" spans="1:13" x14ac:dyDescent="0.3">
      <c r="A50" s="15"/>
      <c r="F50" t="s">
        <v>129</v>
      </c>
      <c r="I50">
        <f>rr-rl</f>
        <v>0.30000000000000004</v>
      </c>
      <c r="J50" t="s">
        <v>40</v>
      </c>
    </row>
    <row r="51" spans="1:13" ht="15" thickBot="1" x14ac:dyDescent="0.35">
      <c r="A51" s="11"/>
      <c r="F51" t="s">
        <v>130</v>
      </c>
      <c r="I51">
        <f>I50/340</f>
        <v>8.8235294117647073E-4</v>
      </c>
      <c r="J51" t="s">
        <v>131</v>
      </c>
    </row>
    <row r="52" spans="1:13" ht="15" thickBot="1" x14ac:dyDescent="0.35">
      <c r="A52" s="11" t="s">
        <v>33</v>
      </c>
      <c r="I52" s="21">
        <f>I51*1000</f>
        <v>0.88235294117647067</v>
      </c>
      <c r="J52" s="22" t="s">
        <v>119</v>
      </c>
    </row>
    <row r="53" spans="1:13" x14ac:dyDescent="0.3">
      <c r="A53" s="12"/>
    </row>
    <row r="54" spans="1:13" ht="31.8" customHeight="1" x14ac:dyDescent="0.3">
      <c r="A54" s="30" t="s">
        <v>36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3" x14ac:dyDescent="0.3">
      <c r="A55" s="9" t="s">
        <v>31</v>
      </c>
      <c r="F55" t="s">
        <v>132</v>
      </c>
      <c r="G55">
        <v>100</v>
      </c>
      <c r="H55" t="s">
        <v>123</v>
      </c>
    </row>
    <row r="56" spans="1:13" x14ac:dyDescent="0.3">
      <c r="A56" s="16" t="s">
        <v>33</v>
      </c>
      <c r="F56" t="s">
        <v>133</v>
      </c>
      <c r="I56">
        <f>Lw-11-20*LOG10(rl)</f>
        <v>92.098039199714862</v>
      </c>
      <c r="J56" t="s">
        <v>123</v>
      </c>
    </row>
    <row r="57" spans="1:13" ht="15" thickBot="1" x14ac:dyDescent="0.35">
      <c r="A57" s="11"/>
      <c r="F57" t="s">
        <v>134</v>
      </c>
      <c r="I57">
        <f>Lw-11-20*LOG10(rr)</f>
        <v>89</v>
      </c>
      <c r="J57" t="s">
        <v>123</v>
      </c>
    </row>
    <row r="58" spans="1:13" ht="15" thickBot="1" x14ac:dyDescent="0.35">
      <c r="F58" t="s">
        <v>135</v>
      </c>
      <c r="I58" s="21">
        <f>I56-I57</f>
        <v>3.0980391997148615</v>
      </c>
      <c r="J58" s="22" t="s">
        <v>123</v>
      </c>
    </row>
  </sheetData>
  <mergeCells count="5">
    <mergeCell ref="A37:M37"/>
    <mergeCell ref="A32:M32"/>
    <mergeCell ref="A42:M42"/>
    <mergeCell ref="A48:M48"/>
    <mergeCell ref="A54:M5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ACD4-D36D-4EE8-A6B1-5E01A0BFF82B}">
  <dimension ref="A1:AX8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RowHeight="14.4" x14ac:dyDescent="0.3"/>
  <cols>
    <col min="1" max="1" width="4.6640625" customWidth="1"/>
    <col min="2" max="2" width="18.44140625" customWidth="1"/>
    <col min="3" max="3" width="33.44140625" customWidth="1"/>
    <col min="4" max="4" width="21.109375" customWidth="1"/>
    <col min="6" max="11" width="3.109375" customWidth="1"/>
    <col min="13" max="18" width="3.33203125" customWidth="1"/>
    <col min="20" max="26" width="3.21875" customWidth="1"/>
    <col min="29" max="29" width="6.6640625" customWidth="1"/>
    <col min="30" max="31" width="8.21875" customWidth="1"/>
    <col min="32" max="33" width="6.6640625" customWidth="1"/>
    <col min="36" max="36" width="6.77734375" customWidth="1"/>
    <col min="37" max="37" width="6.33203125" customWidth="1"/>
    <col min="44" max="44" width="6.77734375" customWidth="1"/>
    <col min="45" max="45" width="6" customWidth="1"/>
    <col min="48" max="48" width="7.88671875" customWidth="1"/>
  </cols>
  <sheetData>
    <row r="1" spans="1:50" x14ac:dyDescent="0.3">
      <c r="A1" s="40" t="s">
        <v>109</v>
      </c>
      <c r="B1" s="25" t="s">
        <v>43</v>
      </c>
      <c r="C1" s="28" t="s">
        <v>44</v>
      </c>
      <c r="D1" s="28" t="s">
        <v>45</v>
      </c>
      <c r="E1" s="25" t="s">
        <v>0</v>
      </c>
      <c r="F1" s="25" t="s">
        <v>1</v>
      </c>
      <c r="G1" s="25" t="s">
        <v>2</v>
      </c>
      <c r="H1" s="25" t="s">
        <v>3</v>
      </c>
      <c r="I1" s="25" t="s">
        <v>4</v>
      </c>
      <c r="J1" s="25" t="s">
        <v>5</v>
      </c>
      <c r="K1" s="25" t="s">
        <v>6</v>
      </c>
      <c r="L1" s="28" t="s">
        <v>46</v>
      </c>
      <c r="M1" s="25">
        <v>-1</v>
      </c>
      <c r="N1" s="25">
        <v>1</v>
      </c>
      <c r="O1" s="25">
        <v>1</v>
      </c>
      <c r="P1" s="25">
        <v>-1</v>
      </c>
      <c r="Q1" s="25">
        <v>1</v>
      </c>
      <c r="R1" s="25">
        <v>-1</v>
      </c>
      <c r="S1" s="28" t="s">
        <v>47</v>
      </c>
      <c r="T1" s="25">
        <v>1</v>
      </c>
      <c r="U1" s="25">
        <v>1</v>
      </c>
      <c r="V1" s="25">
        <v>1</v>
      </c>
      <c r="W1" s="25">
        <v>1</v>
      </c>
      <c r="X1" s="25">
        <v>1</v>
      </c>
      <c r="Y1" s="25">
        <v>1</v>
      </c>
      <c r="Z1" s="25">
        <v>1</v>
      </c>
      <c r="AA1" s="28" t="s">
        <v>48</v>
      </c>
      <c r="AB1" s="25"/>
      <c r="AC1" s="25" t="s">
        <v>138</v>
      </c>
      <c r="AD1" s="28" t="s">
        <v>49</v>
      </c>
      <c r="AE1" s="25" t="s">
        <v>139</v>
      </c>
      <c r="AF1" s="25" t="s">
        <v>140</v>
      </c>
      <c r="AG1" s="25" t="s">
        <v>138</v>
      </c>
      <c r="AH1" s="28" t="s">
        <v>50</v>
      </c>
      <c r="AI1" s="25" t="s">
        <v>139</v>
      </c>
      <c r="AJ1" s="25" t="s">
        <v>140</v>
      </c>
      <c r="AK1" s="25" t="s">
        <v>138</v>
      </c>
      <c r="AL1" s="28" t="s">
        <v>51</v>
      </c>
      <c r="AM1" s="25" t="s">
        <v>139</v>
      </c>
      <c r="AN1" s="25" t="s">
        <v>140</v>
      </c>
      <c r="AO1" s="25" t="s">
        <v>138</v>
      </c>
      <c r="AP1" s="28" t="s">
        <v>52</v>
      </c>
      <c r="AQ1" s="25" t="s">
        <v>139</v>
      </c>
      <c r="AR1" s="25" t="s">
        <v>140</v>
      </c>
      <c r="AS1" s="25" t="s">
        <v>138</v>
      </c>
      <c r="AT1" s="28" t="s">
        <v>53</v>
      </c>
      <c r="AU1" s="25" t="s">
        <v>139</v>
      </c>
      <c r="AV1" s="25" t="s">
        <v>140</v>
      </c>
      <c r="AW1" s="25" t="s">
        <v>138</v>
      </c>
      <c r="AX1" s="37" t="s">
        <v>144</v>
      </c>
    </row>
    <row r="2" spans="1:50" x14ac:dyDescent="0.3">
      <c r="A2" s="41">
        <v>1</v>
      </c>
      <c r="B2" s="42">
        <v>44544.408171296294</v>
      </c>
      <c r="C2" s="43" t="s">
        <v>54</v>
      </c>
      <c r="D2" s="43" t="s">
        <v>55</v>
      </c>
      <c r="E2" s="44">
        <v>321870</v>
      </c>
      <c r="F2" s="26">
        <f t="shared" ref="F2:F8" si="0">INT(E2/100000)</f>
        <v>3</v>
      </c>
      <c r="G2" s="26">
        <f t="shared" ref="G2:G8" si="1">INT(($E2-100000*F2)/10000)</f>
        <v>2</v>
      </c>
      <c r="H2" s="26">
        <f t="shared" ref="H2:H8" si="2">INT(($E2-100000*F2-10000*G2)/1000)</f>
        <v>1</v>
      </c>
      <c r="I2" s="26">
        <f t="shared" ref="I2:I8" si="3">INT(($E2-100000*$F2-10000*$G2-1000*$H2)/100)</f>
        <v>8</v>
      </c>
      <c r="J2" s="26">
        <f t="shared" ref="J2:J8" si="4">INT(($E2-100000*$F2-10000*$G2-1000*$H2-100*$I2)/10)</f>
        <v>7</v>
      </c>
      <c r="K2" s="26">
        <f t="shared" ref="K2:K8" si="5">INT(($E2-100000*$F2-10000*$G2-1000*$H2-100*$I2-10*$J2))</f>
        <v>0</v>
      </c>
      <c r="L2" s="43" t="s">
        <v>56</v>
      </c>
      <c r="M2" s="29">
        <f>IF(ISERROR(FIND("IIR is more efficient",L2,1)),0,M$1)</f>
        <v>0</v>
      </c>
      <c r="N2" s="29">
        <f>IF(ISERROR(FIND("they can be unstable",L2,1)),0,N$1)</f>
        <v>1</v>
      </c>
      <c r="O2" s="29">
        <f>IF(ISERROR(FIND("they are always stable",L2,1)),0,O$1)</f>
        <v>1</v>
      </c>
      <c r="P2" s="29">
        <f>IF(ISERROR(FIND("up to a few thousands taps",L2,1)),0,P$1)</f>
        <v>0</v>
      </c>
      <c r="Q2" s="29">
        <f>IF(ISERROR(FIND("even millions of taps",L2,1)),0,Q$1)</f>
        <v>1</v>
      </c>
      <c r="R2" s="29">
        <f>IF(ISERROR(FIND("Aliasing occurs when",L2,1)),0,R$1)</f>
        <v>0</v>
      </c>
      <c r="S2" s="43" t="s">
        <v>57</v>
      </c>
      <c r="T2" s="29">
        <f>IF(ISERROR(FIND("recorded",S2,1)),0,T$1)</f>
        <v>1</v>
      </c>
      <c r="U2" s="29">
        <f>IF(ISERROR(FIND("synthesized",S2,1)),0,U$1)</f>
        <v>0</v>
      </c>
      <c r="V2" s="29">
        <f>IF(ISERROR(FIND("reproduced over headphonese",S2,1)),0,V$1)</f>
        <v>0</v>
      </c>
      <c r="W2" s="29">
        <f>IF(ISERROR(FIND("reproduced over a loudspeaker rig",S2,1)),0,W$1)</f>
        <v>1</v>
      </c>
      <c r="X2" s="29">
        <f>IF(ISERROR(FIND("converted to any other",S2,1)),0,X$1)</f>
        <v>0</v>
      </c>
      <c r="Y2" s="29">
        <f>IF(ISERROR(FIND("converted to any closely",S2,1)),0,Y$1)</f>
        <v>0</v>
      </c>
      <c r="Z2" s="29">
        <f>IF(ISERROR(FIND("employed for feeding",S2,1)),0,Z$1)</f>
        <v>0</v>
      </c>
      <c r="AA2" s="43" t="s">
        <v>58</v>
      </c>
      <c r="AB2" s="43"/>
      <c r="AC2" s="32">
        <v>1</v>
      </c>
      <c r="AD2" s="43" t="s">
        <v>59</v>
      </c>
      <c r="AE2" s="35">
        <f>0.17*SIN((30+2*K2)/180*PI())/340*1000</f>
        <v>0.24999999999999994</v>
      </c>
      <c r="AF2" s="34" t="s">
        <v>119</v>
      </c>
      <c r="AG2" s="32">
        <v>0</v>
      </c>
      <c r="AH2" s="43" t="s">
        <v>60</v>
      </c>
      <c r="AI2" s="33">
        <f>20*LOG10(COS((30+2*K2)/180*PI())/SIN((30+2*K2)/180*PI()))</f>
        <v>4.771212547196626</v>
      </c>
      <c r="AJ2" s="34" t="s">
        <v>123</v>
      </c>
      <c r="AK2" s="32">
        <v>0</v>
      </c>
      <c r="AL2" s="43" t="s">
        <v>61</v>
      </c>
      <c r="AM2" s="33">
        <f>340/(4*(20+J2)/100)</f>
        <v>314.81481481481478</v>
      </c>
      <c r="AN2" s="34" t="s">
        <v>128</v>
      </c>
      <c r="AO2" s="32">
        <v>0</v>
      </c>
      <c r="AP2" s="43" t="s">
        <v>62</v>
      </c>
      <c r="AQ2" s="36">
        <f>((0.8+J2/25)-(0.4+K2/20))/340*1000</f>
        <v>2</v>
      </c>
      <c r="AR2" s="34" t="s">
        <v>119</v>
      </c>
      <c r="AS2" s="32">
        <v>1</v>
      </c>
      <c r="AT2" s="43" t="s">
        <v>63</v>
      </c>
      <c r="AU2" s="33">
        <f>20*LOG10(0.4+K2/20)-20*LOG10(0.8+J2/25)</f>
        <v>-8.6272752831797455</v>
      </c>
      <c r="AV2" s="34" t="s">
        <v>123</v>
      </c>
      <c r="AW2" s="32">
        <v>0</v>
      </c>
      <c r="AX2" s="38">
        <f>SUM(M2:R2)+SUM(T2:Z2)+AC2+AG2+AK2+AO2+AS2+AW2</f>
        <v>7</v>
      </c>
    </row>
    <row r="3" spans="1:50" x14ac:dyDescent="0.3">
      <c r="A3" s="41">
        <v>2</v>
      </c>
      <c r="B3" s="45" t="s">
        <v>64</v>
      </c>
      <c r="C3" s="43" t="s">
        <v>65</v>
      </c>
      <c r="D3" s="43" t="s">
        <v>66</v>
      </c>
      <c r="E3" s="44">
        <v>322683</v>
      </c>
      <c r="F3" s="26">
        <f t="shared" si="0"/>
        <v>3</v>
      </c>
      <c r="G3" s="26">
        <f t="shared" si="1"/>
        <v>2</v>
      </c>
      <c r="H3" s="26">
        <f t="shared" si="2"/>
        <v>2</v>
      </c>
      <c r="I3" s="26">
        <f t="shared" si="3"/>
        <v>6</v>
      </c>
      <c r="J3" s="26">
        <f t="shared" si="4"/>
        <v>8</v>
      </c>
      <c r="K3" s="26">
        <f t="shared" si="5"/>
        <v>3</v>
      </c>
      <c r="L3" s="43" t="s">
        <v>56</v>
      </c>
      <c r="M3" s="29">
        <f t="shared" ref="M3:M8" si="6">IF(ISERROR(FIND("IIR is more efficient",L3,1)),0,M$1)</f>
        <v>0</v>
      </c>
      <c r="N3" s="29">
        <f t="shared" ref="N3:N8" si="7">IF(ISERROR(FIND("they can be unstable",L3,1)),0,N$1)</f>
        <v>1</v>
      </c>
      <c r="O3" s="29">
        <f t="shared" ref="O3:O8" si="8">IF(ISERROR(FIND("they are always stable",L3,1)),0,O$1)</f>
        <v>1</v>
      </c>
      <c r="P3" s="29">
        <f t="shared" ref="P3:P8" si="9">IF(ISERROR(FIND("up to a few thousands taps",L3,1)),0,P$1)</f>
        <v>0</v>
      </c>
      <c r="Q3" s="29">
        <f t="shared" ref="Q3:Q8" si="10">IF(ISERROR(FIND("even millions of taps",L3,1)),0,Q$1)</f>
        <v>1</v>
      </c>
      <c r="R3" s="29">
        <f t="shared" ref="R3:R8" si="11">IF(ISERROR(FIND("Aliasing occurs when",L3,1)),0,R$1)</f>
        <v>0</v>
      </c>
      <c r="S3" s="43" t="s">
        <v>57</v>
      </c>
      <c r="T3" s="29">
        <f t="shared" ref="T3:T8" si="12">IF(ISERROR(FIND("recorded",S3,1)),0,T$1)</f>
        <v>1</v>
      </c>
      <c r="U3" s="29">
        <f t="shared" ref="U3:U8" si="13">IF(ISERROR(FIND("synthesized",S3,1)),0,U$1)</f>
        <v>0</v>
      </c>
      <c r="V3" s="29">
        <f t="shared" ref="V3:V8" si="14">IF(ISERROR(FIND("reproduced over headphonese",S3,1)),0,V$1)</f>
        <v>0</v>
      </c>
      <c r="W3" s="29">
        <f t="shared" ref="W3:W8" si="15">IF(ISERROR(FIND("reproduced over a loudspeaker rig",S3,1)),0,W$1)</f>
        <v>1</v>
      </c>
      <c r="X3" s="29">
        <f t="shared" ref="X3:X8" si="16">IF(ISERROR(FIND("converted to any other",S3,1)),0,X$1)</f>
        <v>0</v>
      </c>
      <c r="Y3" s="29">
        <f t="shared" ref="Y3:Y8" si="17">IF(ISERROR(FIND("converted to any closely",S3,1)),0,Y$1)</f>
        <v>0</v>
      </c>
      <c r="Z3" s="29">
        <f t="shared" ref="Z3:Z8" si="18">IF(ISERROR(FIND("employed for feeding",S3,1)),0,Z$1)</f>
        <v>0</v>
      </c>
      <c r="AA3" s="43" t="s">
        <v>58</v>
      </c>
      <c r="AB3" s="43"/>
      <c r="AC3" s="32">
        <v>1</v>
      </c>
      <c r="AD3" s="43" t="s">
        <v>67</v>
      </c>
      <c r="AE3" s="35">
        <f t="shared" ref="AE3:AE8" si="19">0.17*SIN((30+2*K3)/180*PI())/340*1000</f>
        <v>0.29389262614623662</v>
      </c>
      <c r="AF3" s="34" t="s">
        <v>119</v>
      </c>
      <c r="AG3" s="32">
        <v>0</v>
      </c>
      <c r="AH3" s="43" t="s">
        <v>68</v>
      </c>
      <c r="AI3" s="33">
        <f t="shared" ref="AI3:AI8" si="20">20*LOG10(COS((30+2*K3)/180*PI())/SIN((30+2*K3)/180*PI()))</f>
        <v>2.7747791858192681</v>
      </c>
      <c r="AJ3" s="34" t="s">
        <v>123</v>
      </c>
      <c r="AK3" s="32">
        <v>0</v>
      </c>
      <c r="AL3" s="43" t="s">
        <v>69</v>
      </c>
      <c r="AM3" s="33">
        <f t="shared" ref="AM3:AM8" si="21">340/(4*(20+J3)/100)</f>
        <v>303.57142857142856</v>
      </c>
      <c r="AN3" s="34" t="s">
        <v>128</v>
      </c>
      <c r="AO3" s="32">
        <v>0</v>
      </c>
      <c r="AP3" s="43" t="s">
        <v>70</v>
      </c>
      <c r="AQ3" s="36">
        <f t="shared" ref="AQ3:AQ8" si="22">((0.8+J3/25)-(0.4+K3/20))/340*1000</f>
        <v>1.6764705882352942</v>
      </c>
      <c r="AR3" s="34" t="s">
        <v>119</v>
      </c>
      <c r="AS3" s="32">
        <v>0</v>
      </c>
      <c r="AT3" s="43" t="s">
        <v>71</v>
      </c>
      <c r="AU3" s="33">
        <f t="shared" ref="AU3:AU8" si="23">20*LOG10(0.4+K3/20)-20*LOG10(0.8+J3/25)</f>
        <v>-6.1771066635187557</v>
      </c>
      <c r="AV3" s="34" t="s">
        <v>123</v>
      </c>
      <c r="AW3" s="32">
        <v>0</v>
      </c>
      <c r="AX3" s="38">
        <f t="shared" ref="AX3:AX8" si="24">SUM(M3:R3)+SUM(T3:Z3)+AC3+AG3+AK3+AO3+AS3+AW3</f>
        <v>6</v>
      </c>
    </row>
    <row r="4" spans="1:50" x14ac:dyDescent="0.3">
      <c r="A4" s="41">
        <v>3</v>
      </c>
      <c r="B4" s="45" t="s">
        <v>72</v>
      </c>
      <c r="C4" s="43" t="s">
        <v>73</v>
      </c>
      <c r="D4" s="43" t="s">
        <v>74</v>
      </c>
      <c r="E4" s="44">
        <v>325905</v>
      </c>
      <c r="F4" s="26">
        <f t="shared" si="0"/>
        <v>3</v>
      </c>
      <c r="G4" s="26">
        <f t="shared" si="1"/>
        <v>2</v>
      </c>
      <c r="H4" s="26">
        <f t="shared" si="2"/>
        <v>5</v>
      </c>
      <c r="I4" s="26">
        <f t="shared" si="3"/>
        <v>9</v>
      </c>
      <c r="J4" s="26">
        <f t="shared" si="4"/>
        <v>0</v>
      </c>
      <c r="K4" s="26">
        <f t="shared" si="5"/>
        <v>5</v>
      </c>
      <c r="L4" s="43" t="s">
        <v>56</v>
      </c>
      <c r="M4" s="29">
        <f t="shared" si="6"/>
        <v>0</v>
      </c>
      <c r="N4" s="29">
        <f t="shared" si="7"/>
        <v>1</v>
      </c>
      <c r="O4" s="29">
        <f t="shared" si="8"/>
        <v>1</v>
      </c>
      <c r="P4" s="29">
        <f t="shared" si="9"/>
        <v>0</v>
      </c>
      <c r="Q4" s="29">
        <f t="shared" si="10"/>
        <v>1</v>
      </c>
      <c r="R4" s="29">
        <f t="shared" si="11"/>
        <v>0</v>
      </c>
      <c r="S4" s="43" t="s">
        <v>57</v>
      </c>
      <c r="T4" s="29">
        <f t="shared" si="12"/>
        <v>1</v>
      </c>
      <c r="U4" s="29">
        <f t="shared" si="13"/>
        <v>0</v>
      </c>
      <c r="V4" s="29">
        <f t="shared" si="14"/>
        <v>0</v>
      </c>
      <c r="W4" s="29">
        <f t="shared" si="15"/>
        <v>1</v>
      </c>
      <c r="X4" s="29">
        <f t="shared" si="16"/>
        <v>0</v>
      </c>
      <c r="Y4" s="29">
        <f t="shared" si="17"/>
        <v>0</v>
      </c>
      <c r="Z4" s="29">
        <f t="shared" si="18"/>
        <v>0</v>
      </c>
      <c r="AA4" s="43" t="s">
        <v>58</v>
      </c>
      <c r="AB4" s="43"/>
      <c r="AC4" s="32">
        <v>1</v>
      </c>
      <c r="AD4" s="43" t="s">
        <v>75</v>
      </c>
      <c r="AE4" s="35">
        <f t="shared" si="19"/>
        <v>0.32139380484326968</v>
      </c>
      <c r="AF4" s="34" t="s">
        <v>119</v>
      </c>
      <c r="AG4" s="32">
        <v>0</v>
      </c>
      <c r="AH4" s="43" t="s">
        <v>76</v>
      </c>
      <c r="AI4" s="33">
        <f t="shared" si="20"/>
        <v>1.5237293960216911</v>
      </c>
      <c r="AJ4" s="34" t="s">
        <v>123</v>
      </c>
      <c r="AK4" s="32">
        <v>0</v>
      </c>
      <c r="AL4" s="43" t="s">
        <v>77</v>
      </c>
      <c r="AM4" s="33">
        <f t="shared" si="21"/>
        <v>425</v>
      </c>
      <c r="AN4" s="34" t="s">
        <v>128</v>
      </c>
      <c r="AO4" s="32">
        <v>0</v>
      </c>
      <c r="AP4" s="43" t="s">
        <v>78</v>
      </c>
      <c r="AQ4" s="36">
        <f t="shared" si="22"/>
        <v>0.44117647058823534</v>
      </c>
      <c r="AR4" s="34" t="s">
        <v>119</v>
      </c>
      <c r="AS4" s="32">
        <v>1</v>
      </c>
      <c r="AT4" s="43" t="s">
        <v>79</v>
      </c>
      <c r="AU4" s="33">
        <f t="shared" si="23"/>
        <v>-1.8035326069817605</v>
      </c>
      <c r="AV4" s="34" t="s">
        <v>123</v>
      </c>
      <c r="AW4" s="32">
        <v>0</v>
      </c>
      <c r="AX4" s="38">
        <f t="shared" si="24"/>
        <v>7</v>
      </c>
    </row>
    <row r="5" spans="1:50" x14ac:dyDescent="0.3">
      <c r="A5" s="41">
        <v>4</v>
      </c>
      <c r="B5" s="45" t="s">
        <v>80</v>
      </c>
      <c r="C5" s="43" t="s">
        <v>81</v>
      </c>
      <c r="D5" s="43" t="s">
        <v>82</v>
      </c>
      <c r="E5" s="44">
        <v>329845</v>
      </c>
      <c r="F5" s="26">
        <f t="shared" si="0"/>
        <v>3</v>
      </c>
      <c r="G5" s="26">
        <f t="shared" si="1"/>
        <v>2</v>
      </c>
      <c r="H5" s="26">
        <f t="shared" si="2"/>
        <v>9</v>
      </c>
      <c r="I5" s="26">
        <f t="shared" si="3"/>
        <v>8</v>
      </c>
      <c r="J5" s="26">
        <f t="shared" si="4"/>
        <v>4</v>
      </c>
      <c r="K5" s="26">
        <f t="shared" si="5"/>
        <v>5</v>
      </c>
      <c r="L5" s="43" t="s">
        <v>56</v>
      </c>
      <c r="M5" s="29">
        <f t="shared" si="6"/>
        <v>0</v>
      </c>
      <c r="N5" s="29">
        <f t="shared" si="7"/>
        <v>1</v>
      </c>
      <c r="O5" s="29">
        <f t="shared" si="8"/>
        <v>1</v>
      </c>
      <c r="P5" s="29">
        <f t="shared" si="9"/>
        <v>0</v>
      </c>
      <c r="Q5" s="29">
        <f t="shared" si="10"/>
        <v>1</v>
      </c>
      <c r="R5" s="29">
        <f t="shared" si="11"/>
        <v>0</v>
      </c>
      <c r="S5" s="43" t="s">
        <v>57</v>
      </c>
      <c r="T5" s="29">
        <f t="shared" si="12"/>
        <v>1</v>
      </c>
      <c r="U5" s="29">
        <f t="shared" si="13"/>
        <v>0</v>
      </c>
      <c r="V5" s="29">
        <f t="shared" si="14"/>
        <v>0</v>
      </c>
      <c r="W5" s="29">
        <f t="shared" si="15"/>
        <v>1</v>
      </c>
      <c r="X5" s="29">
        <f t="shared" si="16"/>
        <v>0</v>
      </c>
      <c r="Y5" s="29">
        <f t="shared" si="17"/>
        <v>0</v>
      </c>
      <c r="Z5" s="29">
        <f t="shared" si="18"/>
        <v>0</v>
      </c>
      <c r="AA5" s="43" t="s">
        <v>58</v>
      </c>
      <c r="AB5" s="43"/>
      <c r="AC5" s="32">
        <v>1</v>
      </c>
      <c r="AD5" s="43" t="s">
        <v>83</v>
      </c>
      <c r="AE5" s="35">
        <f t="shared" si="19"/>
        <v>0.32139380484326968</v>
      </c>
      <c r="AF5" s="34" t="s">
        <v>119</v>
      </c>
      <c r="AG5" s="32">
        <v>0</v>
      </c>
      <c r="AH5" s="43" t="s">
        <v>84</v>
      </c>
      <c r="AI5" s="33">
        <f t="shared" si="20"/>
        <v>1.5237293960216911</v>
      </c>
      <c r="AJ5" s="34" t="s">
        <v>123</v>
      </c>
      <c r="AK5" s="32">
        <v>0</v>
      </c>
      <c r="AL5" s="43" t="s">
        <v>85</v>
      </c>
      <c r="AM5" s="33">
        <f t="shared" si="21"/>
        <v>354.16666666666669</v>
      </c>
      <c r="AN5" s="34" t="s">
        <v>128</v>
      </c>
      <c r="AO5" s="32">
        <v>0</v>
      </c>
      <c r="AP5" s="43" t="s">
        <v>86</v>
      </c>
      <c r="AQ5" s="36">
        <f t="shared" si="22"/>
        <v>0.91176470588235314</v>
      </c>
      <c r="AR5" s="34" t="s">
        <v>119</v>
      </c>
      <c r="AS5" s="32">
        <v>1</v>
      </c>
      <c r="AT5" s="43" t="s">
        <v>87</v>
      </c>
      <c r="AU5" s="33">
        <f t="shared" si="23"/>
        <v>-3.3871575279342574</v>
      </c>
      <c r="AV5" s="34" t="s">
        <v>123</v>
      </c>
      <c r="AW5" s="32">
        <v>0</v>
      </c>
      <c r="AX5" s="38">
        <f t="shared" si="24"/>
        <v>7</v>
      </c>
    </row>
    <row r="6" spans="1:50" x14ac:dyDescent="0.3">
      <c r="A6" s="41">
        <v>5</v>
      </c>
      <c r="B6" s="45" t="s">
        <v>88</v>
      </c>
      <c r="C6" s="43" t="s">
        <v>89</v>
      </c>
      <c r="D6" s="43" t="s">
        <v>90</v>
      </c>
      <c r="E6" s="44">
        <v>324363</v>
      </c>
      <c r="F6" s="26">
        <f t="shared" si="0"/>
        <v>3</v>
      </c>
      <c r="G6" s="26">
        <f t="shared" si="1"/>
        <v>2</v>
      </c>
      <c r="H6" s="26">
        <f t="shared" si="2"/>
        <v>4</v>
      </c>
      <c r="I6" s="26">
        <f t="shared" si="3"/>
        <v>3</v>
      </c>
      <c r="J6" s="26">
        <f t="shared" si="4"/>
        <v>6</v>
      </c>
      <c r="K6" s="26">
        <f t="shared" si="5"/>
        <v>3</v>
      </c>
      <c r="L6" s="43" t="s">
        <v>56</v>
      </c>
      <c r="M6" s="29">
        <f t="shared" si="6"/>
        <v>0</v>
      </c>
      <c r="N6" s="29">
        <f t="shared" si="7"/>
        <v>1</v>
      </c>
      <c r="O6" s="29">
        <f t="shared" si="8"/>
        <v>1</v>
      </c>
      <c r="P6" s="29">
        <f t="shared" si="9"/>
        <v>0</v>
      </c>
      <c r="Q6" s="29">
        <f t="shared" si="10"/>
        <v>1</v>
      </c>
      <c r="R6" s="29">
        <f t="shared" si="11"/>
        <v>0</v>
      </c>
      <c r="S6" s="43" t="s">
        <v>57</v>
      </c>
      <c r="T6" s="29">
        <f t="shared" si="12"/>
        <v>1</v>
      </c>
      <c r="U6" s="29">
        <f t="shared" si="13"/>
        <v>0</v>
      </c>
      <c r="V6" s="29">
        <f t="shared" si="14"/>
        <v>0</v>
      </c>
      <c r="W6" s="29">
        <f t="shared" si="15"/>
        <v>1</v>
      </c>
      <c r="X6" s="29">
        <f t="shared" si="16"/>
        <v>0</v>
      </c>
      <c r="Y6" s="29">
        <f t="shared" si="17"/>
        <v>0</v>
      </c>
      <c r="Z6" s="29">
        <f t="shared" si="18"/>
        <v>0</v>
      </c>
      <c r="AA6" s="43" t="s">
        <v>58</v>
      </c>
      <c r="AB6" s="43"/>
      <c r="AC6" s="32">
        <v>1</v>
      </c>
      <c r="AD6" s="43" t="s">
        <v>91</v>
      </c>
      <c r="AE6" s="35">
        <f t="shared" si="19"/>
        <v>0.29389262614623662</v>
      </c>
      <c r="AF6" s="34" t="s">
        <v>119</v>
      </c>
      <c r="AG6" s="32">
        <v>0</v>
      </c>
      <c r="AH6" s="43" t="s">
        <v>68</v>
      </c>
      <c r="AI6" s="33">
        <f t="shared" si="20"/>
        <v>2.7747791858192681</v>
      </c>
      <c r="AJ6" s="34" t="s">
        <v>123</v>
      </c>
      <c r="AK6" s="32">
        <v>0</v>
      </c>
      <c r="AL6" s="43" t="s">
        <v>92</v>
      </c>
      <c r="AM6" s="33">
        <f t="shared" si="21"/>
        <v>326.92307692307691</v>
      </c>
      <c r="AN6" s="34" t="s">
        <v>128</v>
      </c>
      <c r="AO6" s="32">
        <v>0</v>
      </c>
      <c r="AP6" s="43" t="s">
        <v>93</v>
      </c>
      <c r="AQ6" s="36">
        <f t="shared" si="22"/>
        <v>1.4411764705882353</v>
      </c>
      <c r="AR6" s="34" t="s">
        <v>119</v>
      </c>
      <c r="AS6" s="32">
        <v>1</v>
      </c>
      <c r="AT6" s="43" t="s">
        <v>87</v>
      </c>
      <c r="AU6" s="33">
        <f t="shared" si="23"/>
        <v>-5.5334129960907301</v>
      </c>
      <c r="AV6" s="34" t="s">
        <v>123</v>
      </c>
      <c r="AW6" s="32">
        <v>0</v>
      </c>
      <c r="AX6" s="38">
        <f t="shared" si="24"/>
        <v>7</v>
      </c>
    </row>
    <row r="7" spans="1:50" x14ac:dyDescent="0.3">
      <c r="A7" s="41">
        <v>6</v>
      </c>
      <c r="B7" s="45" t="s">
        <v>94</v>
      </c>
      <c r="C7" s="43" t="s">
        <v>95</v>
      </c>
      <c r="D7" s="43" t="s">
        <v>96</v>
      </c>
      <c r="E7" s="44">
        <v>325758</v>
      </c>
      <c r="F7" s="26">
        <f t="shared" si="0"/>
        <v>3</v>
      </c>
      <c r="G7" s="26">
        <f t="shared" si="1"/>
        <v>2</v>
      </c>
      <c r="H7" s="26">
        <f t="shared" si="2"/>
        <v>5</v>
      </c>
      <c r="I7" s="26">
        <f t="shared" si="3"/>
        <v>7</v>
      </c>
      <c r="J7" s="26">
        <f t="shared" si="4"/>
        <v>5</v>
      </c>
      <c r="K7" s="26">
        <f t="shared" si="5"/>
        <v>8</v>
      </c>
      <c r="L7" s="43" t="s">
        <v>56</v>
      </c>
      <c r="M7" s="29">
        <f t="shared" si="6"/>
        <v>0</v>
      </c>
      <c r="N7" s="29">
        <f t="shared" si="7"/>
        <v>1</v>
      </c>
      <c r="O7" s="29">
        <f t="shared" si="8"/>
        <v>1</v>
      </c>
      <c r="P7" s="29">
        <f t="shared" si="9"/>
        <v>0</v>
      </c>
      <c r="Q7" s="29">
        <f t="shared" si="10"/>
        <v>1</v>
      </c>
      <c r="R7" s="29">
        <f t="shared" si="11"/>
        <v>0</v>
      </c>
      <c r="S7" s="43" t="s">
        <v>57</v>
      </c>
      <c r="T7" s="29">
        <f t="shared" si="12"/>
        <v>1</v>
      </c>
      <c r="U7" s="29">
        <f t="shared" si="13"/>
        <v>0</v>
      </c>
      <c r="V7" s="29">
        <f t="shared" si="14"/>
        <v>0</v>
      </c>
      <c r="W7" s="29">
        <f t="shared" si="15"/>
        <v>1</v>
      </c>
      <c r="X7" s="29">
        <f t="shared" si="16"/>
        <v>0</v>
      </c>
      <c r="Y7" s="29">
        <f t="shared" si="17"/>
        <v>0</v>
      </c>
      <c r="Z7" s="29">
        <f t="shared" si="18"/>
        <v>0</v>
      </c>
      <c r="AA7" s="43" t="s">
        <v>58</v>
      </c>
      <c r="AB7" s="43"/>
      <c r="AC7" s="32">
        <v>1</v>
      </c>
      <c r="AD7" s="43" t="s">
        <v>97</v>
      </c>
      <c r="AE7" s="35">
        <f t="shared" si="19"/>
        <v>0.35966990016932554</v>
      </c>
      <c r="AF7" s="34" t="s">
        <v>119</v>
      </c>
      <c r="AG7" s="32">
        <v>0</v>
      </c>
      <c r="AH7" s="43" t="s">
        <v>98</v>
      </c>
      <c r="AI7" s="33">
        <f t="shared" si="20"/>
        <v>-0.30325633632814825</v>
      </c>
      <c r="AJ7" s="34" t="s">
        <v>123</v>
      </c>
      <c r="AK7" s="32">
        <v>0</v>
      </c>
      <c r="AL7" s="43" t="s">
        <v>99</v>
      </c>
      <c r="AM7" s="33">
        <f t="shared" si="21"/>
        <v>340</v>
      </c>
      <c r="AN7" s="34" t="s">
        <v>128</v>
      </c>
      <c r="AO7" s="32">
        <v>0</v>
      </c>
      <c r="AP7" s="43" t="s">
        <v>100</v>
      </c>
      <c r="AQ7" s="36">
        <f t="shared" si="22"/>
        <v>0.58823529411764686</v>
      </c>
      <c r="AR7" s="34" t="s">
        <v>119</v>
      </c>
      <c r="AS7" s="32">
        <v>1</v>
      </c>
      <c r="AT7" s="43" t="s">
        <v>63</v>
      </c>
      <c r="AU7" s="33">
        <f t="shared" si="23"/>
        <v>-1.9382002601611279</v>
      </c>
      <c r="AV7" s="34" t="s">
        <v>123</v>
      </c>
      <c r="AW7" s="32">
        <v>0</v>
      </c>
      <c r="AX7" s="38">
        <f t="shared" si="24"/>
        <v>7</v>
      </c>
    </row>
    <row r="8" spans="1:50" ht="15" thickBot="1" x14ac:dyDescent="0.35">
      <c r="A8" s="5">
        <v>7</v>
      </c>
      <c r="B8" s="46" t="s">
        <v>101</v>
      </c>
      <c r="C8" s="47" t="s">
        <v>102</v>
      </c>
      <c r="D8" s="47" t="s">
        <v>103</v>
      </c>
      <c r="E8" s="48">
        <v>328027</v>
      </c>
      <c r="F8" s="27">
        <f t="shared" si="0"/>
        <v>3</v>
      </c>
      <c r="G8" s="27">
        <f t="shared" si="1"/>
        <v>2</v>
      </c>
      <c r="H8" s="27">
        <f t="shared" si="2"/>
        <v>8</v>
      </c>
      <c r="I8" s="27">
        <f t="shared" si="3"/>
        <v>0</v>
      </c>
      <c r="J8" s="27">
        <f t="shared" si="4"/>
        <v>2</v>
      </c>
      <c r="K8" s="27">
        <f t="shared" si="5"/>
        <v>7</v>
      </c>
      <c r="L8" s="47" t="s">
        <v>56</v>
      </c>
      <c r="M8" s="49">
        <f t="shared" si="6"/>
        <v>0</v>
      </c>
      <c r="N8" s="49">
        <f t="shared" si="7"/>
        <v>1</v>
      </c>
      <c r="O8" s="49">
        <f t="shared" si="8"/>
        <v>1</v>
      </c>
      <c r="P8" s="49">
        <f t="shared" si="9"/>
        <v>0</v>
      </c>
      <c r="Q8" s="49">
        <f t="shared" si="10"/>
        <v>1</v>
      </c>
      <c r="R8" s="49">
        <f t="shared" si="11"/>
        <v>0</v>
      </c>
      <c r="S8" s="47" t="s">
        <v>57</v>
      </c>
      <c r="T8" s="49">
        <f t="shared" si="12"/>
        <v>1</v>
      </c>
      <c r="U8" s="49">
        <f t="shared" si="13"/>
        <v>0</v>
      </c>
      <c r="V8" s="49">
        <f t="shared" si="14"/>
        <v>0</v>
      </c>
      <c r="W8" s="49">
        <f t="shared" si="15"/>
        <v>1</v>
      </c>
      <c r="X8" s="49">
        <f t="shared" si="16"/>
        <v>0</v>
      </c>
      <c r="Y8" s="49">
        <f t="shared" si="17"/>
        <v>0</v>
      </c>
      <c r="Z8" s="49">
        <f t="shared" si="18"/>
        <v>0</v>
      </c>
      <c r="AA8" s="47" t="s">
        <v>58</v>
      </c>
      <c r="AB8" s="47"/>
      <c r="AC8" s="50">
        <v>1</v>
      </c>
      <c r="AD8" s="47" t="s">
        <v>104</v>
      </c>
      <c r="AE8" s="51">
        <f t="shared" si="19"/>
        <v>0.34732918522949868</v>
      </c>
      <c r="AF8" s="52" t="s">
        <v>119</v>
      </c>
      <c r="AG8" s="50">
        <v>0</v>
      </c>
      <c r="AH8" s="47" t="s">
        <v>105</v>
      </c>
      <c r="AI8" s="53">
        <f t="shared" si="20"/>
        <v>0.30325633632815091</v>
      </c>
      <c r="AJ8" s="52" t="s">
        <v>123</v>
      </c>
      <c r="AK8" s="50">
        <v>0</v>
      </c>
      <c r="AL8" s="47" t="s">
        <v>106</v>
      </c>
      <c r="AM8" s="53">
        <f t="shared" si="21"/>
        <v>386.36363636363637</v>
      </c>
      <c r="AN8" s="52" t="s">
        <v>128</v>
      </c>
      <c r="AO8" s="50">
        <v>0</v>
      </c>
      <c r="AP8" s="47" t="s">
        <v>107</v>
      </c>
      <c r="AQ8" s="54">
        <f t="shared" si="22"/>
        <v>0.38235294117647062</v>
      </c>
      <c r="AR8" s="52" t="s">
        <v>119</v>
      </c>
      <c r="AS8" s="50">
        <v>1</v>
      </c>
      <c r="AT8" s="47" t="s">
        <v>108</v>
      </c>
      <c r="AU8" s="53">
        <f t="shared" si="23"/>
        <v>-1.3884281751693717</v>
      </c>
      <c r="AV8" s="52" t="s">
        <v>123</v>
      </c>
      <c r="AW8" s="50">
        <v>0</v>
      </c>
      <c r="AX8" s="39">
        <f t="shared" si="24"/>
        <v>7</v>
      </c>
    </row>
  </sheetData>
  <conditionalFormatting sqref="M2:R8">
    <cfRule type="cellIs" dxfId="35" priority="37" operator="equal">
      <formula>0</formula>
    </cfRule>
  </conditionalFormatting>
  <conditionalFormatting sqref="M2:R8">
    <cfRule type="aboveAverage" dxfId="34" priority="38" aboveAverage="0"/>
    <cfRule type="aboveAverage" dxfId="33" priority="39"/>
  </conditionalFormatting>
  <conditionalFormatting sqref="T2:Y8">
    <cfRule type="cellIs" dxfId="32" priority="34" operator="equal">
      <formula>0</formula>
    </cfRule>
  </conditionalFormatting>
  <conditionalFormatting sqref="T2:Y8">
    <cfRule type="aboveAverage" dxfId="31" priority="35" aboveAverage="0"/>
    <cfRule type="aboveAverage" dxfId="30" priority="36"/>
  </conditionalFormatting>
  <conditionalFormatting sqref="Z2:Z8">
    <cfRule type="cellIs" dxfId="29" priority="31" operator="equal">
      <formula>0</formula>
    </cfRule>
  </conditionalFormatting>
  <conditionalFormatting sqref="Z2:Z8">
    <cfRule type="aboveAverage" dxfId="28" priority="32" aboveAverage="0"/>
    <cfRule type="aboveAverage" dxfId="27" priority="33"/>
  </conditionalFormatting>
  <conditionalFormatting sqref="AC2:AC8">
    <cfRule type="cellIs" dxfId="26" priority="28" operator="equal">
      <formula>0</formula>
    </cfRule>
  </conditionalFormatting>
  <conditionalFormatting sqref="AC2:AC8">
    <cfRule type="aboveAverage" dxfId="25" priority="29" aboveAverage="0"/>
    <cfRule type="aboveAverage" dxfId="24" priority="30"/>
  </conditionalFormatting>
  <conditionalFormatting sqref="AK2:AK8">
    <cfRule type="cellIs" dxfId="23" priority="25" operator="equal">
      <formula>0</formula>
    </cfRule>
  </conditionalFormatting>
  <conditionalFormatting sqref="AK2:AK8">
    <cfRule type="aboveAverage" dxfId="22" priority="26" aboveAverage="0"/>
    <cfRule type="aboveAverage" dxfId="21" priority="27"/>
  </conditionalFormatting>
  <conditionalFormatting sqref="AG2:AG8">
    <cfRule type="cellIs" dxfId="20" priority="22" operator="equal">
      <formula>0</formula>
    </cfRule>
  </conditionalFormatting>
  <conditionalFormatting sqref="AO2">
    <cfRule type="cellIs" dxfId="19" priority="19" operator="equal">
      <formula>0</formula>
    </cfRule>
  </conditionalFormatting>
  <conditionalFormatting sqref="AO2">
    <cfRule type="aboveAverage" dxfId="18" priority="20" aboveAverage="0"/>
    <cfRule type="aboveAverage" dxfId="17" priority="21"/>
  </conditionalFormatting>
  <conditionalFormatting sqref="AO3:AO8">
    <cfRule type="cellIs" dxfId="16" priority="16" operator="equal">
      <formula>0</formula>
    </cfRule>
  </conditionalFormatting>
  <conditionalFormatting sqref="AS3:AS8">
    <cfRule type="cellIs" dxfId="15" priority="10" operator="equal">
      <formula>0</formula>
    </cfRule>
  </conditionalFormatting>
  <conditionalFormatting sqref="AW2">
    <cfRule type="cellIs" dxfId="14" priority="7" operator="equal">
      <formula>0</formula>
    </cfRule>
  </conditionalFormatting>
  <conditionalFormatting sqref="AW2">
    <cfRule type="aboveAverage" dxfId="13" priority="8" aboveAverage="0"/>
    <cfRule type="aboveAverage" dxfId="12" priority="9"/>
  </conditionalFormatting>
  <conditionalFormatting sqref="AW3:AW8">
    <cfRule type="cellIs" dxfId="11" priority="4" operator="equal">
      <formula>0</formula>
    </cfRule>
  </conditionalFormatting>
  <conditionalFormatting sqref="AS2">
    <cfRule type="cellIs" dxfId="10" priority="1" operator="equal">
      <formula>0</formula>
    </cfRule>
  </conditionalFormatting>
  <conditionalFormatting sqref="AS2">
    <cfRule type="aboveAverage" dxfId="9" priority="2" aboveAverage="0"/>
    <cfRule type="aboveAverage" dxfId="8" priority="3"/>
  </conditionalFormatting>
  <conditionalFormatting sqref="AG2:AG8">
    <cfRule type="aboveAverage" dxfId="7" priority="40" aboveAverage="0"/>
    <cfRule type="aboveAverage" dxfId="6" priority="41"/>
  </conditionalFormatting>
  <conditionalFormatting sqref="AO3:AO8">
    <cfRule type="aboveAverage" dxfId="5" priority="42" aboveAverage="0"/>
    <cfRule type="aboveAverage" dxfId="4" priority="43"/>
  </conditionalFormatting>
  <conditionalFormatting sqref="AS3:AS8">
    <cfRule type="aboveAverage" dxfId="3" priority="44" aboveAverage="0"/>
    <cfRule type="aboveAverage" dxfId="2" priority="45"/>
  </conditionalFormatting>
  <conditionalFormatting sqref="AW3:AW8">
    <cfRule type="aboveAverage" dxfId="1" priority="46" aboveAverage="0"/>
    <cfRule type="aboveAverage" dxfId="0" priority="47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Solution</vt:lpstr>
      <vt:lpstr>Responses</vt:lpstr>
      <vt:lpstr>Az</vt:lpstr>
      <vt:lpstr>d</vt:lpstr>
      <vt:lpstr>Lw</vt:lpstr>
      <vt:lpstr>rl</vt:lpstr>
      <vt:lpstr>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2021-12-14T07:50:16Z</dcterms:created>
  <dcterms:modified xsi:type="dcterms:W3CDTF">2021-12-22T16:24:21Z</dcterms:modified>
</cp:coreProperties>
</file>