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Farina\My Documents\Esami\29-01-2021\"/>
    </mc:Choice>
  </mc:AlternateContent>
  <xr:revisionPtr revIDLastSave="0" documentId="13_ncr:1_{667F53C6-1A2C-49D5-9DBF-D35C949841BB}" xr6:coauthVersionLast="46" xr6:coauthVersionMax="46" xr10:uidLastSave="{00000000-0000-0000-0000-000000000000}"/>
  <bookViews>
    <workbookView xWindow="848" yWindow="-98" windowWidth="22290" windowHeight="14595" activeTab="1" xr2:uid="{00000000-000D-0000-FFFF-FFFF00000000}"/>
  </bookViews>
  <sheets>
    <sheet name="Form responses 1" sheetId="1" r:id="rId1"/>
    <sheet name="Punteggio" sheetId="2" r:id="rId2"/>
    <sheet name="Soluzione" sheetId="3" r:id="rId3"/>
  </sheets>
  <definedNames>
    <definedName name="d">Soluzione!$E$18</definedName>
    <definedName name="E">Soluzione!$L$2</definedName>
    <definedName name="F">Soluzione!$M$2</definedName>
    <definedName name="Kfact">Soluzione!$C$17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2" l="1"/>
  <c r="AA4" i="2"/>
  <c r="AA6" i="2"/>
  <c r="AA7" i="2"/>
  <c r="AA8" i="2"/>
  <c r="X3" i="2"/>
  <c r="X4" i="2"/>
  <c r="X5" i="2"/>
  <c r="X6" i="2"/>
  <c r="X7" i="2"/>
  <c r="X8" i="2"/>
  <c r="P3" i="2"/>
  <c r="P4" i="2"/>
  <c r="P5" i="2"/>
  <c r="P6" i="2"/>
  <c r="P7" i="2"/>
  <c r="P8" i="2"/>
  <c r="L3" i="2"/>
  <c r="L4" i="2"/>
  <c r="L5" i="2"/>
  <c r="L6" i="2"/>
  <c r="L7" i="2"/>
  <c r="L8" i="2"/>
  <c r="AF2" i="2" l="1"/>
  <c r="AB2" i="2"/>
  <c r="X2" i="2"/>
  <c r="T2" i="2"/>
  <c r="P2" i="2"/>
  <c r="L2" i="2"/>
  <c r="D24" i="3"/>
  <c r="B24" i="3"/>
  <c r="C21" i="3"/>
  <c r="F17" i="3" l="1"/>
  <c r="H14" i="3"/>
  <c r="E14" i="3"/>
  <c r="B14" i="3"/>
  <c r="O14" i="3" s="1"/>
  <c r="E11" i="3" l="1"/>
  <c r="H8" i="3"/>
  <c r="B3" i="2"/>
  <c r="C3" i="2"/>
  <c r="D3" i="2"/>
  <c r="E3" i="2"/>
  <c r="F3" i="2" s="1"/>
  <c r="S3" i="2"/>
  <c r="T3" i="2"/>
  <c r="AB3" i="2"/>
  <c r="AF3" i="2"/>
  <c r="B4" i="2"/>
  <c r="C4" i="2"/>
  <c r="D4" i="2"/>
  <c r="E4" i="2"/>
  <c r="F4" i="2" s="1"/>
  <c r="G4" i="2" s="1"/>
  <c r="S4" i="2"/>
  <c r="T4" i="2"/>
  <c r="AB4" i="2"/>
  <c r="AF4" i="2"/>
  <c r="B5" i="2"/>
  <c r="C5" i="2"/>
  <c r="D5" i="2"/>
  <c r="E5" i="2"/>
  <c r="F5" i="2"/>
  <c r="T5" i="2"/>
  <c r="AB5" i="2"/>
  <c r="AF5" i="2"/>
  <c r="B6" i="2"/>
  <c r="C6" i="2"/>
  <c r="D6" i="2"/>
  <c r="E6" i="2"/>
  <c r="F6" i="2" s="1"/>
  <c r="S6" i="2"/>
  <c r="T6" i="2"/>
  <c r="AB6" i="2"/>
  <c r="AF6" i="2"/>
  <c r="B7" i="2"/>
  <c r="C7" i="2"/>
  <c r="D7" i="2"/>
  <c r="E7" i="2"/>
  <c r="F7" i="2" s="1"/>
  <c r="G7" i="2" s="1"/>
  <c r="S7" i="2"/>
  <c r="T7" i="2"/>
  <c r="AB7" i="2"/>
  <c r="AF7" i="2"/>
  <c r="B8" i="2"/>
  <c r="C8" i="2"/>
  <c r="D8" i="2"/>
  <c r="E8" i="2"/>
  <c r="F8" i="2" s="1"/>
  <c r="S8" i="2"/>
  <c r="T8" i="2"/>
  <c r="AB8" i="2"/>
  <c r="AF8" i="2"/>
  <c r="H4" i="2" l="1"/>
  <c r="I4" i="2" s="1"/>
  <c r="G5" i="2"/>
  <c r="H5" i="2" s="1"/>
  <c r="I5" i="2" s="1"/>
  <c r="G6" i="2"/>
  <c r="H6" i="2" s="1"/>
  <c r="G8" i="2"/>
  <c r="H8" i="2" s="1"/>
  <c r="H7" i="2"/>
  <c r="G3" i="2"/>
  <c r="H3" i="2" s="1"/>
  <c r="E2" i="2"/>
  <c r="D2" i="2"/>
  <c r="C2" i="2"/>
  <c r="B2" i="2"/>
  <c r="I3" i="2" l="1"/>
  <c r="I8" i="2"/>
  <c r="J5" i="2"/>
  <c r="I7" i="2"/>
  <c r="I6" i="2"/>
  <c r="J4" i="2"/>
  <c r="K4" i="2" s="1"/>
  <c r="F2" i="2"/>
  <c r="A23" i="3"/>
  <c r="A20" i="3"/>
  <c r="A16" i="3"/>
  <c r="A13" i="3"/>
  <c r="A10" i="3"/>
  <c r="A7" i="3"/>
  <c r="M4" i="2" l="1"/>
  <c r="O4" i="2" s="1"/>
  <c r="U4" i="2"/>
  <c r="Y4" i="2"/>
  <c r="AC4" i="2"/>
  <c r="J8" i="2"/>
  <c r="J6" i="2"/>
  <c r="J3" i="2"/>
  <c r="K3" i="2" s="1"/>
  <c r="J7" i="2"/>
  <c r="Q4" i="2"/>
  <c r="K8" i="2"/>
  <c r="K5" i="2"/>
  <c r="AE4" i="2"/>
  <c r="K6" i="2"/>
  <c r="K7" i="2"/>
  <c r="G2" i="2"/>
  <c r="AF1" i="2"/>
  <c r="AB1" i="2"/>
  <c r="X1" i="2"/>
  <c r="T1" i="2"/>
  <c r="P1" i="2"/>
  <c r="L1" i="2"/>
  <c r="E1" i="2"/>
  <c r="D1" i="2"/>
  <c r="C1" i="2"/>
  <c r="B1" i="2"/>
  <c r="Q3" i="2" l="1"/>
  <c r="U3" i="2"/>
  <c r="Y3" i="2"/>
  <c r="AC3" i="2"/>
  <c r="AE3" i="2" s="1"/>
  <c r="U5" i="2"/>
  <c r="AC5" i="2"/>
  <c r="AE5" i="2" s="1"/>
  <c r="Y5" i="2"/>
  <c r="W3" i="2"/>
  <c r="Q6" i="2"/>
  <c r="Y6" i="2"/>
  <c r="U6" i="2"/>
  <c r="AC6" i="2"/>
  <c r="Q7" i="2"/>
  <c r="Y7" i="2"/>
  <c r="AC7" i="2"/>
  <c r="U7" i="2"/>
  <c r="W7" i="2" s="1"/>
  <c r="Q8" i="2"/>
  <c r="Y8" i="2"/>
  <c r="AC8" i="2"/>
  <c r="U8" i="2"/>
  <c r="M7" i="2"/>
  <c r="O7" i="2" s="1"/>
  <c r="M3" i="2"/>
  <c r="O3" i="2" s="1"/>
  <c r="AI3" i="2" s="1"/>
  <c r="M6" i="2"/>
  <c r="O6" i="2" s="1"/>
  <c r="M8" i="2"/>
  <c r="O8" i="2" s="1"/>
  <c r="Q5" i="2"/>
  <c r="M5" i="2"/>
  <c r="AG8" i="2"/>
  <c r="AE8" i="2"/>
  <c r="W8" i="2"/>
  <c r="AE6" i="2"/>
  <c r="AE7" i="2"/>
  <c r="AI4" i="2"/>
  <c r="H2" i="2"/>
  <c r="I2" i="2" s="1"/>
  <c r="AI8" i="2" l="1"/>
  <c r="AI6" i="2"/>
  <c r="AI5" i="2"/>
  <c r="AI7" i="2"/>
  <c r="J2" i="2"/>
  <c r="K2" i="2" l="1"/>
  <c r="AC2" i="2" l="1"/>
  <c r="AE2" i="2" s="1"/>
  <c r="Y2" i="2"/>
  <c r="AA2" i="2" s="1"/>
  <c r="U2" i="2"/>
  <c r="W2" i="2" s="1"/>
  <c r="Q2" i="2"/>
  <c r="S2" i="2" s="1"/>
  <c r="M2" i="2"/>
  <c r="O2" i="2" s="1"/>
  <c r="AI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" authorId="0" shapeId="0" xr:uid="{C8103A8E-AB11-4F78-B16C-61E9DE389A99}">
      <text>
        <r>
          <rPr>
            <sz val="10"/>
            <color rgb="FF000000"/>
            <rFont val="Arial"/>
          </rPr>
          <t>Responder updated this value.</t>
        </r>
      </text>
    </comment>
    <comment ref="J2" authorId="0" shapeId="0" xr:uid="{C98747D7-EBF6-4BD1-8680-BEB008322C7B}">
      <text>
        <r>
          <rPr>
            <sz val="10"/>
            <color rgb="FF000000"/>
            <rFont val="Arial"/>
          </rPr>
          <t>Responder updated this value.</t>
        </r>
      </text>
    </comment>
    <comment ref="F5" authorId="0" shapeId="0" xr:uid="{2FDCF415-FCB8-44EA-9C9D-A6886BA12548}">
      <text>
        <r>
          <rPr>
            <sz val="10"/>
            <color rgb="FF00000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<sst xmlns="http://schemas.openxmlformats.org/spreadsheetml/2006/main" count="142" uniqueCount="86">
  <si>
    <t>Timestamp</t>
  </si>
  <si>
    <t>Email address</t>
  </si>
  <si>
    <t>Cognome e Nome</t>
  </si>
  <si>
    <t>Matricola</t>
  </si>
  <si>
    <t>A</t>
  </si>
  <si>
    <t>B</t>
  </si>
  <si>
    <t>C</t>
  </si>
  <si>
    <t>D</t>
  </si>
  <si>
    <t>E</t>
  </si>
  <si>
    <t>F</t>
  </si>
  <si>
    <t>OK v.</t>
  </si>
  <si>
    <t>OK u.</t>
  </si>
  <si>
    <t>Punti</t>
  </si>
  <si>
    <t>N.</t>
  </si>
  <si>
    <t>dB(A)</t>
  </si>
  <si>
    <t>Lw = Lp+10*log10(S) =</t>
  </si>
  <si>
    <t>lm</t>
  </si>
  <si>
    <t>TOTALE</t>
  </si>
  <si>
    <t>Fisica Tecnica Ambientale per la Città - Esame del 21/12/2020</t>
  </si>
  <si>
    <t>W</t>
  </si>
  <si>
    <t xml:space="preserve">1) L'aria in una stanza ha una temperatura di 10+E/2 °C e titolo x = 4+F/2 gv/kga. Il volume della stanza è di 100+D*10 m³. L'aria viene riscaldata sino a 20+F/4 °C. Calcolare la quantità di calore necessaria ad operare il riscaldamento.									</t>
  </si>
  <si>
    <t xml:space="preserve">2) Calcolare il livello di potenza sonora di una macchina collocata all'aperto su un piano riflettente, avendo misurato un livello medio di pressione sonora pari a 80+F dB(A) su una superficie di inviluppo di forma cubica avente un lato pari a 5m.											</t>
  </si>
  <si>
    <t>3) Su un binario passano 10+D treni ogni ora, ciascuno dei quali produce un SEL di 104+F dB(A) alla distanza di 7.5m dall'asse del binario. Calcolare il livello equivalente  Leq in un punto situato a 50+E m dall'asse del binario.</t>
  </si>
  <si>
    <t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t>
  </si>
  <si>
    <t xml:space="preserve">5) Calcolare il flusso luminoso totale necessario in una stanza rettangolare avente dimensioni di m 10+F x 5+E ed alta 4m. Il fattore di utilizzazione è pari a 0.3+D/30, il fattore di manutenzione è pari a 0.6+F/100. Il valore di illuminamento da raggiungere sui piani di lavoro è pari a 200+F*20 lux.					</t>
  </si>
  <si>
    <t>6) Calcolare il fattore di riduzione del fattore finestra  ψ Sapendo che la finestra è larga 1.0+F/10 m, alta 1.6+E/10 m ed è recessata dal filo facciata di 20+D cm.</t>
  </si>
  <si>
    <t>caterina.ratti@studenti.unipr.it</t>
  </si>
  <si>
    <t>Ratti Caterina</t>
  </si>
  <si>
    <t>22779.18 kJ</t>
  </si>
  <si>
    <t>97.01 dB(A)</t>
  </si>
  <si>
    <t>81.726 dB(A)</t>
  </si>
  <si>
    <t>2.72 W/mqK</t>
  </si>
  <si>
    <t>122500 lm</t>
  </si>
  <si>
    <t>maddalena.derosa@studenti.unipr.it</t>
  </si>
  <si>
    <t>DE ROSA MADDALENA</t>
  </si>
  <si>
    <t>1929600.0 J</t>
  </si>
  <si>
    <t>95.98 dB(A)</t>
  </si>
  <si>
    <t>74.15 dB(A)</t>
  </si>
  <si>
    <t>0.45 W/m2K</t>
  </si>
  <si>
    <t>55741.93 lumen</t>
  </si>
  <si>
    <t>massimiliano.magini@studenti.unipr.it</t>
  </si>
  <si>
    <t>MAGINI MASSIMILIANO</t>
  </si>
  <si>
    <t>8969.6 J</t>
  </si>
  <si>
    <t>60.03 dB(A)</t>
  </si>
  <si>
    <t>0.46 W/mqK</t>
  </si>
  <si>
    <t>43636.4 lm</t>
  </si>
  <si>
    <t>pierluigi.turco@studenti.unipr.it</t>
  </si>
  <si>
    <t>Pierluigi Turco</t>
  </si>
  <si>
    <t>103,76 dB(A)</t>
  </si>
  <si>
    <t>0,37 W/m2K</t>
  </si>
  <si>
    <t xml:space="preserve">473225 lm </t>
  </si>
  <si>
    <t>nicola.gamba@studenti.unipr.it</t>
  </si>
  <si>
    <t>Gamba Nicola</t>
  </si>
  <si>
    <t>1.97 Kgv</t>
  </si>
  <si>
    <t>73.02 dB(A)</t>
  </si>
  <si>
    <t>0.72 W/m2K</t>
  </si>
  <si>
    <t>119323.6 Lumen</t>
  </si>
  <si>
    <t>veronica.terraioli@studenti.unipr.it</t>
  </si>
  <si>
    <t>terraioli veronica</t>
  </si>
  <si>
    <t>1477350 Kga/h</t>
  </si>
  <si>
    <t>105.96 dB(A)</t>
  </si>
  <si>
    <t>120.24 dB(A)</t>
  </si>
  <si>
    <t>125.33 W/m2K</t>
  </si>
  <si>
    <t>158823.5 lm</t>
  </si>
  <si>
    <t>sara.cavalieri1@studenti.unipr.it</t>
  </si>
  <si>
    <t>Cavalieri Sara</t>
  </si>
  <si>
    <t>1356750 J</t>
  </si>
  <si>
    <t>94.98 dB(A)</t>
  </si>
  <si>
    <t>1881.12 dB(A)</t>
  </si>
  <si>
    <t>9.38 W/m2K</t>
  </si>
  <si>
    <t>91012.54 lm</t>
  </si>
  <si>
    <t>Qpunto = M*(J2 -J1) = rho * V * (t2+x2*(2500+1.9*t2)-t1-x1*(2500+1.9*t1)) =</t>
  </si>
  <si>
    <t>SEL =</t>
  </si>
  <si>
    <t>dB</t>
  </si>
  <si>
    <t>d =</t>
  </si>
  <si>
    <t>m</t>
  </si>
  <si>
    <t>Ntrains/h =</t>
  </si>
  <si>
    <t>tr/h</t>
  </si>
  <si>
    <t>Leq = SEL +10*log10(N/3600) +10*log10(7.5/d) =</t>
  </si>
  <si>
    <t>U = 1/(1/8+s1/k1+s2/k2+s3/k3+s4/k4+1/20) =</t>
  </si>
  <si>
    <t>W/m2K</t>
  </si>
  <si>
    <t>PHI = E*S/(U*M) =</t>
  </si>
  <si>
    <t>hf/p =</t>
  </si>
  <si>
    <t>Lf/p =</t>
  </si>
  <si>
    <t>PSI =</t>
  </si>
  <si>
    <t>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</si>
</sst>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0.0"/>
    <numFmt numFmtId="170" formatCode="0.000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202124"/>
      <name val="Arial"/>
      <family val="2"/>
    </font>
    <font>
      <sz val="8"/>
      <name val="Arial"/>
      <family val="2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 applyFont="1" applyAlignment="1"/>
    <xf numFmtId="0" fontId="1" fillId="0" borderId="0" xfId="0" applyNumberFormat="1" applyFont="1" applyAlignment="1"/>
    <xf numFmtId="0" fontId="6" fillId="0" borderId="0" xfId="1" applyFont="1"/>
    <xf numFmtId="0" fontId="3" fillId="0" borderId="0" xfId="1"/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6" fillId="0" borderId="0" xfId="0" applyFont="1" applyAlignment="1"/>
    <xf numFmtId="165" fontId="6" fillId="0" borderId="8" xfId="0" applyNumberFormat="1" applyFont="1" applyBorder="1" applyAlignment="1"/>
    <xf numFmtId="0" fontId="6" fillId="0" borderId="9" xfId="0" applyFont="1" applyBorder="1" applyAlignment="1"/>
    <xf numFmtId="1" fontId="6" fillId="0" borderId="8" xfId="0" applyNumberFormat="1" applyFont="1" applyBorder="1" applyAlignment="1"/>
    <xf numFmtId="0" fontId="0" fillId="0" borderId="0" xfId="0" applyNumberFormat="1" applyFont="1" applyAlignment="1">
      <alignment wrapText="1"/>
    </xf>
    <xf numFmtId="2" fontId="4" fillId="2" borderId="10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/>
    <xf numFmtId="0" fontId="5" fillId="0" borderId="1" xfId="1" applyNumberFormat="1" applyFont="1" applyBorder="1" applyAlignment="1">
      <alignment horizontal="left"/>
    </xf>
    <xf numFmtId="0" fontId="5" fillId="4" borderId="1" xfId="1" applyNumberFormat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center" wrapText="1"/>
    </xf>
    <xf numFmtId="0" fontId="5" fillId="5" borderId="12" xfId="1" applyNumberFormat="1" applyFont="1" applyFill="1" applyBorder="1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/>
    <xf numFmtId="0" fontId="7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Font="1" applyAlignment="1"/>
    <xf numFmtId="0" fontId="9" fillId="0" borderId="0" xfId="0" applyFont="1"/>
    <xf numFmtId="164" fontId="9" fillId="0" borderId="0" xfId="0" applyNumberFormat="1" applyFont="1" applyAlignment="1"/>
    <xf numFmtId="0" fontId="9" fillId="0" borderId="0" xfId="0" applyFont="1" applyAlignment="1"/>
    <xf numFmtId="0" fontId="3" fillId="0" borderId="0" xfId="0" applyFont="1"/>
    <xf numFmtId="0" fontId="6" fillId="0" borderId="0" xfId="0" applyFont="1"/>
    <xf numFmtId="165" fontId="6" fillId="0" borderId="8" xfId="0" applyNumberFormat="1" applyFont="1" applyBorder="1"/>
    <xf numFmtId="0" fontId="6" fillId="0" borderId="9" xfId="0" applyFont="1" applyBorder="1"/>
    <xf numFmtId="165" fontId="6" fillId="0" borderId="0" xfId="0" applyNumberFormat="1" applyFont="1" applyBorder="1"/>
    <xf numFmtId="0" fontId="6" fillId="0" borderId="0" xfId="0" applyFont="1" applyBorder="1"/>
    <xf numFmtId="2" fontId="6" fillId="0" borderId="9" xfId="0" applyNumberFormat="1" applyFont="1" applyBorder="1" applyAlignment="1"/>
    <xf numFmtId="170" fontId="6" fillId="0" borderId="8" xfId="0" applyNumberFormat="1" applyFont="1" applyBorder="1" applyAlignment="1"/>
    <xf numFmtId="1" fontId="6" fillId="0" borderId="8" xfId="1" applyNumberFormat="1" applyFont="1" applyBorder="1"/>
    <xf numFmtId="0" fontId="6" fillId="0" borderId="9" xfId="1" applyFont="1" applyBorder="1"/>
    <xf numFmtId="0" fontId="3" fillId="0" borderId="0" xfId="1" applyAlignment="1">
      <alignment horizontal="right"/>
    </xf>
    <xf numFmtId="0" fontId="3" fillId="0" borderId="0" xfId="1" applyAlignment="1">
      <alignment horizontal="left"/>
    </xf>
    <xf numFmtId="2" fontId="6" fillId="0" borderId="0" xfId="1" applyNumberFormat="1" applyFont="1"/>
    <xf numFmtId="2" fontId="6" fillId="0" borderId="14" xfId="1" applyNumberFormat="1" applyFont="1" applyBorder="1"/>
  </cellXfs>
  <cellStyles count="2">
    <cellStyle name="Normal" xfId="0" builtinId="0"/>
    <cellStyle name="Normal 2" xfId="1" xr:uid="{E25C94AC-43D9-4001-8667-7230DB8CA626}"/>
  </cellStyles>
  <dxfs count="21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7</xdr:col>
      <xdr:colOff>233556</xdr:colOff>
      <xdr:row>52</xdr:row>
      <xdr:rowOff>77499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1B1E1-0E4B-4C88-AD8D-6B12122E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5600"/>
          <a:ext cx="4767456" cy="444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219075</xdr:colOff>
      <xdr:row>33</xdr:row>
      <xdr:rowOff>109538</xdr:rowOff>
    </xdr:from>
    <xdr:to>
      <xdr:col>1</xdr:col>
      <xdr:colOff>348962</xdr:colOff>
      <xdr:row>34</xdr:row>
      <xdr:rowOff>87120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594B30A-916C-4543-B5B5-88CF0BF2ECC1}"/>
            </a:ext>
          </a:extLst>
        </xdr:cNvPr>
        <xdr:cNvSpPr/>
      </xdr:nvSpPr>
      <xdr:spPr>
        <a:xfrm>
          <a:off x="866775" y="8110538"/>
          <a:ext cx="129887" cy="1395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"/>
  <sheetViews>
    <sheetView topLeftCell="C1" workbookViewId="0">
      <pane ySplit="1" topLeftCell="A2" activePane="bottomLeft" state="frozen"/>
      <selection pane="bottomLeft" sqref="A1:J8"/>
    </sheetView>
  </sheetViews>
  <sheetFormatPr defaultColWidth="14.3984375" defaultRowHeight="15.75" customHeight="1" x14ac:dyDescent="0.35"/>
  <cols>
    <col min="1" max="16" width="21.53125" customWidth="1"/>
  </cols>
  <sheetData>
    <row r="1" spans="1:10" ht="12.75" x14ac:dyDescent="0.35">
      <c r="A1" s="32" t="s">
        <v>0</v>
      </c>
      <c r="B1" s="32" t="s">
        <v>1</v>
      </c>
      <c r="C1" s="32" t="s">
        <v>2</v>
      </c>
      <c r="D1" s="32" t="s">
        <v>3</v>
      </c>
      <c r="E1" s="32" t="s">
        <v>20</v>
      </c>
      <c r="F1" s="32" t="s">
        <v>21</v>
      </c>
      <c r="G1" s="32" t="s">
        <v>22</v>
      </c>
      <c r="H1" s="32" t="s">
        <v>23</v>
      </c>
      <c r="I1" s="32" t="s">
        <v>24</v>
      </c>
      <c r="J1" s="32" t="s">
        <v>25</v>
      </c>
    </row>
    <row r="2" spans="1:10" ht="15.75" customHeight="1" x14ac:dyDescent="0.35">
      <c r="A2" s="33">
        <v>44225.427867731487</v>
      </c>
      <c r="B2" s="34" t="s">
        <v>26</v>
      </c>
      <c r="C2" s="34" t="s">
        <v>27</v>
      </c>
      <c r="D2" s="34">
        <v>309334</v>
      </c>
      <c r="E2" s="34" t="s">
        <v>28</v>
      </c>
      <c r="F2" s="34" t="s">
        <v>29</v>
      </c>
      <c r="G2" s="34" t="s">
        <v>30</v>
      </c>
      <c r="H2" s="34" t="s">
        <v>31</v>
      </c>
      <c r="I2" s="34" t="s">
        <v>32</v>
      </c>
      <c r="J2" s="34">
        <v>0.93</v>
      </c>
    </row>
    <row r="3" spans="1:10" ht="15.75" customHeight="1" x14ac:dyDescent="0.35">
      <c r="A3" s="33">
        <v>44225.430124074075</v>
      </c>
      <c r="B3" s="34" t="s">
        <v>33</v>
      </c>
      <c r="C3" s="34" t="s">
        <v>34</v>
      </c>
      <c r="D3" s="34">
        <v>313612</v>
      </c>
      <c r="E3" s="34" t="s">
        <v>35</v>
      </c>
      <c r="F3" s="34" t="s">
        <v>36</v>
      </c>
      <c r="G3" s="34" t="s">
        <v>37</v>
      </c>
      <c r="H3" s="34" t="s">
        <v>38</v>
      </c>
      <c r="I3" s="34" t="s">
        <v>39</v>
      </c>
      <c r="J3" s="34">
        <v>0.89</v>
      </c>
    </row>
    <row r="4" spans="1:10" ht="15.75" customHeight="1" x14ac:dyDescent="0.35">
      <c r="A4" s="33">
        <v>44225.431598634255</v>
      </c>
      <c r="B4" s="34" t="s">
        <v>40</v>
      </c>
      <c r="C4" s="34" t="s">
        <v>41</v>
      </c>
      <c r="D4" s="34">
        <v>310702</v>
      </c>
      <c r="E4" s="34" t="s">
        <v>42</v>
      </c>
      <c r="F4" s="34" t="s">
        <v>43</v>
      </c>
      <c r="G4" s="31"/>
      <c r="H4" s="34" t="s">
        <v>44</v>
      </c>
      <c r="I4" s="34" t="s">
        <v>45</v>
      </c>
      <c r="J4" s="34">
        <v>0.9</v>
      </c>
    </row>
    <row r="5" spans="1:10" ht="15.75" customHeight="1" x14ac:dyDescent="0.35">
      <c r="A5" s="33">
        <v>44225.433612905093</v>
      </c>
      <c r="B5" s="34" t="s">
        <v>46</v>
      </c>
      <c r="C5" s="34" t="s">
        <v>47</v>
      </c>
      <c r="D5" s="34">
        <v>314332</v>
      </c>
      <c r="E5" s="31"/>
      <c r="F5" s="34" t="s">
        <v>48</v>
      </c>
      <c r="G5" s="31"/>
      <c r="H5" s="34" t="s">
        <v>49</v>
      </c>
      <c r="I5" s="34" t="s">
        <v>50</v>
      </c>
      <c r="J5" s="31"/>
    </row>
    <row r="6" spans="1:10" ht="15.75" customHeight="1" x14ac:dyDescent="0.35">
      <c r="A6" s="33">
        <v>44225.433821666666</v>
      </c>
      <c r="B6" s="34" t="s">
        <v>51</v>
      </c>
      <c r="C6" s="34" t="s">
        <v>52</v>
      </c>
      <c r="D6" s="34">
        <v>307989</v>
      </c>
      <c r="E6" s="34" t="s">
        <v>53</v>
      </c>
      <c r="F6" s="34" t="s">
        <v>54</v>
      </c>
      <c r="G6" s="31"/>
      <c r="H6" s="34" t="s">
        <v>55</v>
      </c>
      <c r="I6" s="34" t="s">
        <v>56</v>
      </c>
      <c r="J6" s="31"/>
    </row>
    <row r="7" spans="1:10" ht="15.75" customHeight="1" x14ac:dyDescent="0.35">
      <c r="A7" s="33">
        <v>44225.437170405094</v>
      </c>
      <c r="B7" s="34" t="s">
        <v>57</v>
      </c>
      <c r="C7" s="34" t="s">
        <v>58</v>
      </c>
      <c r="D7" s="34">
        <v>314008</v>
      </c>
      <c r="E7" s="34" t="s">
        <v>59</v>
      </c>
      <c r="F7" s="34" t="s">
        <v>60</v>
      </c>
      <c r="G7" s="34" t="s">
        <v>61</v>
      </c>
      <c r="H7" s="34" t="s">
        <v>62</v>
      </c>
      <c r="I7" s="34" t="s">
        <v>63</v>
      </c>
      <c r="J7" s="34">
        <v>1</v>
      </c>
    </row>
    <row r="8" spans="1:10" ht="15.75" customHeight="1" x14ac:dyDescent="0.35">
      <c r="A8" s="33">
        <v>44225.450703182869</v>
      </c>
      <c r="B8" s="34" t="s">
        <v>64</v>
      </c>
      <c r="C8" s="34" t="s">
        <v>65</v>
      </c>
      <c r="D8" s="34">
        <v>307881</v>
      </c>
      <c r="E8" s="34" t="s">
        <v>66</v>
      </c>
      <c r="F8" s="34" t="s">
        <v>67</v>
      </c>
      <c r="G8" s="34" t="s">
        <v>68</v>
      </c>
      <c r="H8" s="34" t="s">
        <v>69</v>
      </c>
      <c r="I8" s="34" t="s">
        <v>70</v>
      </c>
      <c r="J8" s="34">
        <v>0.88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3364-E1DD-43E4-9284-ABDE93E53A92}">
  <sheetPr>
    <outlinePr summaryBelow="0" summaryRight="0"/>
  </sheetPr>
  <dimension ref="A1:AS8"/>
  <sheetViews>
    <sheetView tabSelected="1" topLeftCell="M1" workbookViewId="0">
      <pane ySplit="1" topLeftCell="A2" activePane="bottomLeft" state="frozen"/>
      <selection pane="bottomLeft" activeCell="AB5" sqref="AB5"/>
    </sheetView>
  </sheetViews>
  <sheetFormatPr defaultColWidth="14.3984375" defaultRowHeight="15.75" customHeight="1" x14ac:dyDescent="0.35"/>
  <cols>
    <col min="1" max="1" width="3.6640625" customWidth="1"/>
    <col min="2" max="2" width="17.9296875" customWidth="1"/>
    <col min="3" max="4" width="21.53125" customWidth="1"/>
    <col min="5" max="5" width="9.33203125" customWidth="1"/>
    <col min="6" max="11" width="2.9296875" customWidth="1"/>
    <col min="12" max="12" width="26.06640625" customWidth="1"/>
    <col min="13" max="13" width="5.9296875" customWidth="1"/>
    <col min="14" max="14" width="6.1328125" customWidth="1"/>
    <col min="15" max="15" width="5.59765625" customWidth="1"/>
    <col min="16" max="16" width="29.1328125" customWidth="1"/>
    <col min="17" max="19" width="5.796875" customWidth="1"/>
    <col min="20" max="20" width="23.73046875" customWidth="1"/>
    <col min="21" max="23" width="6.06640625" customWidth="1"/>
    <col min="24" max="24" width="21.53125" customWidth="1"/>
    <col min="25" max="25" width="6.1328125" customWidth="1"/>
    <col min="26" max="26" width="7.53125" style="31" customWidth="1"/>
    <col min="27" max="27" width="6.1328125" customWidth="1"/>
    <col min="28" max="28" width="29.1328125" customWidth="1"/>
    <col min="29" max="29" width="7.59765625" customWidth="1"/>
    <col min="30" max="31" width="6.53125" customWidth="1"/>
    <col min="32" max="32" width="38.3984375" customWidth="1"/>
    <col min="33" max="33" width="6.3984375" customWidth="1"/>
    <col min="34" max="34" width="10.06640625" customWidth="1"/>
    <col min="35" max="35" width="10.73046875" customWidth="1"/>
    <col min="36" max="37" width="21.53125" customWidth="1"/>
  </cols>
  <sheetData>
    <row r="1" spans="1:45" ht="168.75" customHeight="1" x14ac:dyDescent="0.35">
      <c r="A1" s="15" t="s">
        <v>13</v>
      </c>
      <c r="B1" s="15" t="str">
        <f>'Form responses 1'!A1</f>
        <v>Timestamp</v>
      </c>
      <c r="C1" s="16" t="str">
        <f>'Form responses 1'!B1</f>
        <v>Email address</v>
      </c>
      <c r="D1" s="16" t="str">
        <f>'Form responses 1'!C1</f>
        <v>Cognome e Nome</v>
      </c>
      <c r="E1" s="15" t="str">
        <f>'Form responses 1'!D1</f>
        <v>Matricola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6" t="str">
        <f>'Form responses 1'!E1</f>
        <v xml:space="preserve">1) L'aria in una stanza ha una temperatura di 10+E/2 °C e titolo x = 4+F/2 gv/kga. Il volume della stanza è di 100+D*10 m³. L'aria viene riscaldata sino a 20+F/4 °C. Calcolare la quantità di calore necessaria ad operare il riscaldamento.									</v>
      </c>
      <c r="M1" s="15" t="s">
        <v>10</v>
      </c>
      <c r="N1" s="17" t="s">
        <v>11</v>
      </c>
      <c r="O1" s="17" t="s">
        <v>12</v>
      </c>
      <c r="P1" s="16" t="str">
        <f>'Form responses 1'!F1</f>
        <v xml:space="preserve">2) Calcolare il livello di potenza sonora di una macchina collocata all'aperto su un piano riflettente, avendo misurato un livello medio di pressione sonora pari a 80+F dB(A) su una superficie di inviluppo di forma cubica avente un lato pari a 5m.											</v>
      </c>
      <c r="Q1" s="15" t="s">
        <v>10</v>
      </c>
      <c r="R1" s="17" t="s">
        <v>11</v>
      </c>
      <c r="S1" s="17" t="s">
        <v>12</v>
      </c>
      <c r="T1" s="16" t="str">
        <f>'Form responses 1'!G1</f>
        <v>3) Su un binario passano 10+D treni ogni ora, ciascuno dei quali produce un SEL di 104+F dB(A) alla distanza di 7.5m dall'asse del binario. Calcolare il livello equivalente  Leq in un punto situato a 50+E m dall'asse del binario.</v>
      </c>
      <c r="U1" s="15" t="s">
        <v>10</v>
      </c>
      <c r="V1" s="17" t="s">
        <v>11</v>
      </c>
      <c r="W1" s="17" t="s">
        <v>12</v>
      </c>
      <c r="X1" s="16" t="str">
        <f>'Form responses 1'!H1</f>
        <v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v>
      </c>
      <c r="Y1" s="15" t="s">
        <v>10</v>
      </c>
      <c r="Z1" s="17" t="s">
        <v>11</v>
      </c>
      <c r="AA1" s="17" t="s">
        <v>12</v>
      </c>
      <c r="AB1" s="16" t="str">
        <f>'Form responses 1'!I1</f>
        <v xml:space="preserve">5) Calcolare il flusso luminoso totale necessario in una stanza rettangolare avente dimensioni di m 10+F x 5+E ed alta 4m. Il fattore di utilizzazione è pari a 0.3+D/30, il fattore di manutenzione è pari a 0.6+F/100. Il valore di illuminamento da raggiungere sui piani di lavoro è pari a 200+F*20 lux.					</v>
      </c>
      <c r="AC1" s="15" t="s">
        <v>10</v>
      </c>
      <c r="AD1" s="17" t="s">
        <v>11</v>
      </c>
      <c r="AE1" s="17" t="s">
        <v>12</v>
      </c>
      <c r="AF1" s="16" t="str">
        <f>'Form responses 1'!J1</f>
        <v>6) Calcolare il fattore di riduzione del fattore finestra  ψ Sapendo che la finestra è larga 1.0+F/10 m, alta 1.6+E/10 m ed è recessata dal filo facciata di 20+D cm.</v>
      </c>
      <c r="AG1" s="15" t="s">
        <v>10</v>
      </c>
      <c r="AH1" s="17" t="s">
        <v>12</v>
      </c>
      <c r="AI1" s="25" t="s">
        <v>17</v>
      </c>
    </row>
    <row r="2" spans="1:45" ht="12.75" x14ac:dyDescent="0.35">
      <c r="A2" s="18">
        <v>1</v>
      </c>
      <c r="B2" s="19">
        <f>'Form responses 1'!A2</f>
        <v>44225.427867731487</v>
      </c>
      <c r="C2" s="20" t="str">
        <f>'Form responses 1'!B2</f>
        <v>caterina.ratti@studenti.unipr.it</v>
      </c>
      <c r="D2" s="20" t="str">
        <f>'Form responses 1'!C2</f>
        <v>Ratti Caterina</v>
      </c>
      <c r="E2" s="20">
        <f>'Form responses 1'!D2</f>
        <v>309334</v>
      </c>
      <c r="F2" s="21">
        <f t="shared" ref="F2" si="0">INT(E2/100000)</f>
        <v>3</v>
      </c>
      <c r="G2" s="21">
        <f t="shared" ref="G2" si="1">INT((E2-F2*100000)/10000)</f>
        <v>0</v>
      </c>
      <c r="H2" s="21">
        <f t="shared" ref="H2" si="2">INT((E2-F2*100000-G2*10000)/1000)</f>
        <v>9</v>
      </c>
      <c r="I2" s="21">
        <f t="shared" ref="I2" si="3">INT((E2-F2*100000-G2*10000-H2*1000)/100)</f>
        <v>3</v>
      </c>
      <c r="J2" s="21">
        <f t="shared" ref="J2" si="4">INT((E2-F2*100000-G2*10000-H2*1000-I2*100)/10)</f>
        <v>3</v>
      </c>
      <c r="K2" s="21">
        <f t="shared" ref="K2" si="5">INT((E2-F2*100000-G2*10000-H2*1000-I2*100-J2*10))</f>
        <v>4</v>
      </c>
      <c r="L2" s="20" t="str">
        <f>'Form responses 1'!E2</f>
        <v>22779.18 kJ</v>
      </c>
      <c r="M2" s="22">
        <f>1.2*(100+I2*10)*(20+K2/4+(4+K2/2)*(2500+1.9*(20+K2/4))-(10+J2/2)-(4+K2/2)*(2500+1.9*(10-J2/2)))</f>
        <v>23712</v>
      </c>
      <c r="N2" s="23" t="s">
        <v>85</v>
      </c>
      <c r="O2" s="24">
        <f t="shared" ref="O2" si="6">IF(L2="",0,IF(((ABS(VALUE(LEFT(L2,FIND(" ",L2)))-M2))/M2&lt;=0.1),5,0))</f>
        <v>5</v>
      </c>
      <c r="P2" s="20" t="str">
        <f>'Form responses 1'!F2</f>
        <v>97.01 dB(A)</v>
      </c>
      <c r="Q2" s="22">
        <f>80+K2+10*LOG10(125)</f>
        <v>104.96910013008056</v>
      </c>
      <c r="R2" s="23" t="s">
        <v>14</v>
      </c>
      <c r="S2" s="24">
        <f t="shared" ref="S2" si="7">IF(P2="",0,IF(((ABS(VALUE(LEFT(P2,FIND(" ",P2)))-Q2))&lt;=0.5),5,0))</f>
        <v>0</v>
      </c>
      <c r="T2" s="20" t="str">
        <f>'Form responses 1'!G2</f>
        <v>81.726 dB(A)</v>
      </c>
      <c r="U2" s="22">
        <f>104+K2+10*LOG10((10+I2)/3600)+10*LOG10(7.5/(50+J2))</f>
        <v>75.084262453304603</v>
      </c>
      <c r="V2" s="23" t="s">
        <v>14</v>
      </c>
      <c r="W2" s="24">
        <f t="shared" ref="W2" si="8">IF(T2="",0,IF(((ABS(VALUE(LEFT(T2,FIND(" ",T2)))-U2))&lt;=0.5),5,0))</f>
        <v>0</v>
      </c>
      <c r="X2" s="20" t="str">
        <f>'Form responses 1'!H2</f>
        <v>2.72 W/mqK</v>
      </c>
      <c r="Y2" s="22">
        <f>1/(1/8+0.015/(0-4+K2/20)+0.3/(0.3+J2/10)+0.1/(0.02+I2/100)+0.02/(0.8+K2/20)+1/20)</f>
        <v>0.37160179933502835</v>
      </c>
      <c r="Z2" s="23" t="s">
        <v>80</v>
      </c>
      <c r="AA2" s="24">
        <f t="shared" ref="AA2:AA8" si="9">IF(X2="",0,IF(((ABS(VALUE(LEFT(X2,FIND(" ",X2)))-Y2))/Y2&lt;=0.1),5,0))</f>
        <v>0</v>
      </c>
      <c r="AB2" s="20" t="str">
        <f>'Form responses 1'!I2</f>
        <v>122500 lm</v>
      </c>
      <c r="AC2" s="22">
        <f>(200+K2*20)*(10+K2)*(5+J2)/((0.3+I2/30)*(0.6+K2/100))</f>
        <v>122500</v>
      </c>
      <c r="AD2" s="23" t="s">
        <v>16</v>
      </c>
      <c r="AE2" s="24">
        <f t="shared" ref="AE2" si="10">IF(AB2="",0,IF(((ABS(VALUE(LEFT(AB2,FIND(" ",AB2)))-AC2))/AC2&lt;=0.1),5,0))</f>
        <v>5</v>
      </c>
      <c r="AF2" s="20">
        <f>'Form responses 1'!J2</f>
        <v>0.93</v>
      </c>
      <c r="AG2" s="22">
        <v>0.92</v>
      </c>
      <c r="AH2" s="24">
        <v>5</v>
      </c>
      <c r="AI2" s="26">
        <f>O2+S2+W2+AA2+AE2+AH2</f>
        <v>15</v>
      </c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2.75" x14ac:dyDescent="0.35">
      <c r="A3" s="18">
        <v>2</v>
      </c>
      <c r="B3" s="19">
        <f>'Form responses 1'!A3</f>
        <v>44225.430124074075</v>
      </c>
      <c r="C3" s="20" t="str">
        <f>'Form responses 1'!B3</f>
        <v>maddalena.derosa@studenti.unipr.it</v>
      </c>
      <c r="D3" s="20" t="str">
        <f>'Form responses 1'!C3</f>
        <v>DE ROSA MADDALENA</v>
      </c>
      <c r="E3" s="20">
        <f>'Form responses 1'!D3</f>
        <v>313612</v>
      </c>
      <c r="F3" s="21">
        <f t="shared" ref="F3:F8" si="11">INT(E3/100000)</f>
        <v>3</v>
      </c>
      <c r="G3" s="21">
        <f t="shared" ref="G3:G8" si="12">INT((E3-F3*100000)/10000)</f>
        <v>1</v>
      </c>
      <c r="H3" s="21">
        <f t="shared" ref="H3:H8" si="13">INT((E3-F3*100000-G3*10000)/1000)</f>
        <v>3</v>
      </c>
      <c r="I3" s="21">
        <f t="shared" ref="I3:I8" si="14">INT((E3-F3*100000-G3*10000-H3*1000)/100)</f>
        <v>6</v>
      </c>
      <c r="J3" s="21">
        <f t="shared" ref="J3:J8" si="15">INT((E3-F3*100000-G3*10000-H3*1000-I3*100)/10)</f>
        <v>1</v>
      </c>
      <c r="K3" s="21">
        <f t="shared" ref="K3:K8" si="16">INT((E3-F3*100000-G3*10000-H3*1000-I3*100-J3*10))</f>
        <v>2</v>
      </c>
      <c r="L3" s="20" t="str">
        <f>'Form responses 1'!E3</f>
        <v>1929600.0 J</v>
      </c>
      <c r="M3" s="22">
        <f t="shared" ref="M3:M8" si="17">1.2*(100+I3*10)*(20+K3/4+(4+K3/2)*(2500+1.9*(20+K3/4))-(10+J3/2)-(4+K3/2)*(2500+1.9*(10-J3/2)))</f>
        <v>21984</v>
      </c>
      <c r="N3" s="23" t="s">
        <v>85</v>
      </c>
      <c r="O3" s="24">
        <f t="shared" ref="O3:O8" si="18">IF(L3="",0,IF(((ABS(VALUE(LEFT(L3,FIND(" ",L3)))-M3))/M3&lt;=0.1),5,0))</f>
        <v>0</v>
      </c>
      <c r="P3" s="20" t="str">
        <f>'Form responses 1'!F3</f>
        <v>95.98 dB(A)</v>
      </c>
      <c r="Q3" s="22">
        <f t="shared" ref="Q3:Q8" si="19">80+K3+10*LOG10(100+J3*20)</f>
        <v>102.79181246047625</v>
      </c>
      <c r="R3" s="23" t="s">
        <v>14</v>
      </c>
      <c r="S3" s="24">
        <f t="shared" ref="S3:S8" si="20">IF(P3="",0,IF(((ABS(VALUE(LEFT(P3,FIND(" ",P3)))-Q3))&lt;=0.5),5,0))</f>
        <v>0</v>
      </c>
      <c r="T3" s="20" t="str">
        <f>'Form responses 1'!G3</f>
        <v>74.15 dB(A)</v>
      </c>
      <c r="U3" s="22">
        <f t="shared" ref="U3:U8" si="21">104+K3+10*LOG10((10+I3)/3600)+10*LOG10(7.5/(50+J3))</f>
        <v>74.153085691824003</v>
      </c>
      <c r="V3" s="23" t="s">
        <v>14</v>
      </c>
      <c r="W3" s="24">
        <f t="shared" ref="W3:W8" si="22">IF(T3="",0,IF(((ABS(VALUE(LEFT(T3,FIND(" ",T3)))-U3))&lt;=0.5),5,0))</f>
        <v>5</v>
      </c>
      <c r="X3" s="20" t="str">
        <f>'Form responses 1'!H3</f>
        <v>0.45 W/m2K</v>
      </c>
      <c r="Y3" s="22">
        <f t="shared" ref="Y3:Y8" si="23">1/(1/8+0.015/(0-4+K3/20)+0.3/(0.3+J3/10)+0.1/(0.02+I3/100)+0.02/(0.8+K3/20)+1/20)</f>
        <v>0.45591816853385297</v>
      </c>
      <c r="Z3" s="23" t="s">
        <v>80</v>
      </c>
      <c r="AA3" s="24">
        <f t="shared" si="9"/>
        <v>5</v>
      </c>
      <c r="AB3" s="20" t="str">
        <f>'Form responses 1'!I3</f>
        <v>55741.93 lumen</v>
      </c>
      <c r="AC3" s="22">
        <f t="shared" ref="AC3:AC8" si="24">(200+K3*20)*(10+K3)*(5+J3)/((0.3+I3/30)*(0.6+K3/100))</f>
        <v>55741.93548387097</v>
      </c>
      <c r="AD3" s="23" t="s">
        <v>16</v>
      </c>
      <c r="AE3" s="24">
        <f t="shared" ref="AE3:AE8" si="25">IF(AB3="",0,IF(((ABS(VALUE(LEFT(AB3,FIND(" ",AB3)))-AC3))/AC3&lt;=0.1),5,0))</f>
        <v>5</v>
      </c>
      <c r="AF3" s="20">
        <f>'Form responses 1'!J3</f>
        <v>0.89</v>
      </c>
      <c r="AG3" s="22">
        <v>0.9</v>
      </c>
      <c r="AH3" s="24">
        <v>5</v>
      </c>
      <c r="AI3" s="26">
        <f>O3+S3+W3+AA3+AE3+AH3</f>
        <v>20</v>
      </c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2.75" x14ac:dyDescent="0.35">
      <c r="A4" s="18">
        <v>3</v>
      </c>
      <c r="B4" s="19">
        <f>'Form responses 1'!A4</f>
        <v>44225.431598634255</v>
      </c>
      <c r="C4" s="20" t="str">
        <f>'Form responses 1'!B4</f>
        <v>massimiliano.magini@studenti.unipr.it</v>
      </c>
      <c r="D4" s="20" t="str">
        <f>'Form responses 1'!C4</f>
        <v>MAGINI MASSIMILIANO</v>
      </c>
      <c r="E4" s="20">
        <f>'Form responses 1'!D4</f>
        <v>310702</v>
      </c>
      <c r="F4" s="21">
        <f t="shared" si="11"/>
        <v>3</v>
      </c>
      <c r="G4" s="21">
        <f t="shared" si="12"/>
        <v>1</v>
      </c>
      <c r="H4" s="21">
        <f t="shared" si="13"/>
        <v>0</v>
      </c>
      <c r="I4" s="21">
        <f t="shared" si="14"/>
        <v>7</v>
      </c>
      <c r="J4" s="21">
        <f t="shared" si="15"/>
        <v>0</v>
      </c>
      <c r="K4" s="21">
        <f t="shared" si="16"/>
        <v>2</v>
      </c>
      <c r="L4" s="20" t="str">
        <f>'Form responses 1'!E4</f>
        <v>8969.6 J</v>
      </c>
      <c r="M4" s="22">
        <f t="shared" si="17"/>
        <v>22491</v>
      </c>
      <c r="N4" s="23" t="s">
        <v>85</v>
      </c>
      <c r="O4" s="24">
        <f t="shared" si="18"/>
        <v>0</v>
      </c>
      <c r="P4" s="20" t="str">
        <f>'Form responses 1'!F4</f>
        <v>60.03 dB(A)</v>
      </c>
      <c r="Q4" s="22">
        <f t="shared" si="19"/>
        <v>102</v>
      </c>
      <c r="R4" s="23" t="s">
        <v>14</v>
      </c>
      <c r="S4" s="24">
        <f t="shared" si="20"/>
        <v>0</v>
      </c>
      <c r="T4" s="20">
        <f>'Form responses 1'!G4</f>
        <v>0</v>
      </c>
      <c r="U4" s="22">
        <f t="shared" si="21"/>
        <v>74.502376796666681</v>
      </c>
      <c r="V4" s="23" t="s">
        <v>14</v>
      </c>
      <c r="W4" s="24">
        <v>0</v>
      </c>
      <c r="X4" s="20" t="str">
        <f>'Form responses 1'!H4</f>
        <v>0.46 W/mqK</v>
      </c>
      <c r="Y4" s="22">
        <f t="shared" si="23"/>
        <v>0.43393602225312944</v>
      </c>
      <c r="Z4" s="23" t="s">
        <v>80</v>
      </c>
      <c r="AA4" s="24">
        <f t="shared" si="9"/>
        <v>5</v>
      </c>
      <c r="AB4" s="20" t="str">
        <f>'Form responses 1'!I4</f>
        <v>43636.4 lm</v>
      </c>
      <c r="AC4" s="22">
        <f t="shared" si="24"/>
        <v>43548.387096774197</v>
      </c>
      <c r="AD4" s="23" t="s">
        <v>16</v>
      </c>
      <c r="AE4" s="24">
        <f t="shared" si="25"/>
        <v>5</v>
      </c>
      <c r="AF4" s="20">
        <f>'Form responses 1'!J4</f>
        <v>0.9</v>
      </c>
      <c r="AG4" s="22">
        <v>0.9</v>
      </c>
      <c r="AH4" s="24">
        <v>5</v>
      </c>
      <c r="AI4" s="26">
        <f>O4+S4+W4+AA4+AE4+AH4</f>
        <v>15</v>
      </c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2.75" x14ac:dyDescent="0.35">
      <c r="A5" s="18">
        <v>4</v>
      </c>
      <c r="B5" s="19">
        <f>'Form responses 1'!A5</f>
        <v>44225.433612905093</v>
      </c>
      <c r="C5" s="20" t="str">
        <f>'Form responses 1'!B5</f>
        <v>pierluigi.turco@studenti.unipr.it</v>
      </c>
      <c r="D5" s="20" t="str">
        <f>'Form responses 1'!C5</f>
        <v>Pierluigi Turco</v>
      </c>
      <c r="E5" s="20">
        <f>'Form responses 1'!D5</f>
        <v>314332</v>
      </c>
      <c r="F5" s="21">
        <f t="shared" si="11"/>
        <v>3</v>
      </c>
      <c r="G5" s="21">
        <f t="shared" si="12"/>
        <v>1</v>
      </c>
      <c r="H5" s="21">
        <f t="shared" si="13"/>
        <v>4</v>
      </c>
      <c r="I5" s="21">
        <f t="shared" si="14"/>
        <v>3</v>
      </c>
      <c r="J5" s="21">
        <f t="shared" si="15"/>
        <v>3</v>
      </c>
      <c r="K5" s="21">
        <f t="shared" si="16"/>
        <v>2</v>
      </c>
      <c r="L5" s="20">
        <f>'Form responses 1'!E5</f>
        <v>0</v>
      </c>
      <c r="M5" s="22">
        <f t="shared" si="17"/>
        <v>19188</v>
      </c>
      <c r="N5" s="23" t="s">
        <v>85</v>
      </c>
      <c r="O5" s="24">
        <v>0</v>
      </c>
      <c r="P5" s="20" t="str">
        <f>'Form responses 1'!F5</f>
        <v>103,76 dB(A)</v>
      </c>
      <c r="Q5" s="22">
        <f t="shared" si="19"/>
        <v>104.04119982655925</v>
      </c>
      <c r="R5" s="23" t="s">
        <v>14</v>
      </c>
      <c r="S5" s="24">
        <v>5</v>
      </c>
      <c r="T5" s="20">
        <f>'Form responses 1'!G5</f>
        <v>0</v>
      </c>
      <c r="U5" s="22">
        <f t="shared" si="21"/>
        <v>73.084262453304603</v>
      </c>
      <c r="V5" s="23" t="s">
        <v>14</v>
      </c>
      <c r="W5" s="24">
        <v>0</v>
      </c>
      <c r="X5" s="20" t="str">
        <f>'Form responses 1'!H5</f>
        <v>0,37 W/m2K</v>
      </c>
      <c r="Y5" s="22">
        <f t="shared" si="23"/>
        <v>0.3712812376041254</v>
      </c>
      <c r="Z5" s="23" t="s">
        <v>80</v>
      </c>
      <c r="AA5" s="24">
        <v>5</v>
      </c>
      <c r="AB5" s="20" t="str">
        <f>'Form responses 1'!I5</f>
        <v xml:space="preserve">473225 lm </v>
      </c>
      <c r="AC5" s="22">
        <f t="shared" si="24"/>
        <v>92903.225806451606</v>
      </c>
      <c r="AD5" s="23" t="s">
        <v>16</v>
      </c>
      <c r="AE5" s="24">
        <f t="shared" si="25"/>
        <v>0</v>
      </c>
      <c r="AF5" s="20">
        <f>'Form responses 1'!J5</f>
        <v>0</v>
      </c>
      <c r="AG5" s="22">
        <v>0.87</v>
      </c>
      <c r="AH5" s="24">
        <v>0</v>
      </c>
      <c r="AI5" s="26">
        <f>O5+S5+W5+AA5+AE5+AH5</f>
        <v>10</v>
      </c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2.75" x14ac:dyDescent="0.35">
      <c r="A6" s="18">
        <v>5</v>
      </c>
      <c r="B6" s="19">
        <f>'Form responses 1'!A6</f>
        <v>44225.433821666666</v>
      </c>
      <c r="C6" s="20" t="str">
        <f>'Form responses 1'!B6</f>
        <v>nicola.gamba@studenti.unipr.it</v>
      </c>
      <c r="D6" s="20" t="str">
        <f>'Form responses 1'!C6</f>
        <v>Gamba Nicola</v>
      </c>
      <c r="E6" s="20">
        <f>'Form responses 1'!D6</f>
        <v>307989</v>
      </c>
      <c r="F6" s="21">
        <f t="shared" si="11"/>
        <v>3</v>
      </c>
      <c r="G6" s="21">
        <f t="shared" si="12"/>
        <v>0</v>
      </c>
      <c r="H6" s="21">
        <f t="shared" si="13"/>
        <v>7</v>
      </c>
      <c r="I6" s="21">
        <f t="shared" si="14"/>
        <v>9</v>
      </c>
      <c r="J6" s="21">
        <f t="shared" si="15"/>
        <v>8</v>
      </c>
      <c r="K6" s="21">
        <f t="shared" si="16"/>
        <v>9</v>
      </c>
      <c r="L6" s="20" t="str">
        <f>'Form responses 1'!E6</f>
        <v>1.97 Kgv</v>
      </c>
      <c r="M6" s="22">
        <f t="shared" si="17"/>
        <v>61716.75</v>
      </c>
      <c r="N6" s="23" t="s">
        <v>85</v>
      </c>
      <c r="O6" s="24">
        <f t="shared" si="18"/>
        <v>0</v>
      </c>
      <c r="P6" s="20" t="str">
        <f>'Form responses 1'!F6</f>
        <v>73.02 dB(A)</v>
      </c>
      <c r="Q6" s="22">
        <f t="shared" si="19"/>
        <v>113.14973347970817</v>
      </c>
      <c r="R6" s="23" t="s">
        <v>14</v>
      </c>
      <c r="S6" s="24">
        <f t="shared" si="20"/>
        <v>0</v>
      </c>
      <c r="T6" s="20">
        <f>'Form responses 1'!G6</f>
        <v>0</v>
      </c>
      <c r="U6" s="22">
        <f t="shared" si="21"/>
        <v>81.34084370014304</v>
      </c>
      <c r="V6" s="23" t="s">
        <v>14</v>
      </c>
      <c r="W6" s="24">
        <v>0</v>
      </c>
      <c r="X6" s="20" t="str">
        <f>'Form responses 1'!H6</f>
        <v>0.72 W/m2K</v>
      </c>
      <c r="Y6" s="22">
        <f t="shared" si="23"/>
        <v>0.73067750925977026</v>
      </c>
      <c r="Z6" s="23" t="s">
        <v>80</v>
      </c>
      <c r="AA6" s="24">
        <f t="shared" si="9"/>
        <v>5</v>
      </c>
      <c r="AB6" s="20" t="str">
        <f>'Form responses 1'!I6</f>
        <v>119323.6 Lumen</v>
      </c>
      <c r="AC6" s="22">
        <f t="shared" si="24"/>
        <v>226714.97584541063</v>
      </c>
      <c r="AD6" s="23" t="s">
        <v>16</v>
      </c>
      <c r="AE6" s="24">
        <f t="shared" si="25"/>
        <v>0</v>
      </c>
      <c r="AF6" s="20">
        <f>'Form responses 1'!J6</f>
        <v>0</v>
      </c>
      <c r="AG6" s="22">
        <v>0.91</v>
      </c>
      <c r="AH6" s="24">
        <v>0</v>
      </c>
      <c r="AI6" s="26">
        <f>O6+S6+W6+AA6+AE6+AH6</f>
        <v>5</v>
      </c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5.75" customHeight="1" x14ac:dyDescent="0.35">
      <c r="A7" s="18">
        <v>6</v>
      </c>
      <c r="B7" s="19">
        <f>'Form responses 1'!A7</f>
        <v>44225.437170405094</v>
      </c>
      <c r="C7" s="20" t="str">
        <f>'Form responses 1'!B7</f>
        <v>veronica.terraioli@studenti.unipr.it</v>
      </c>
      <c r="D7" s="20" t="str">
        <f>'Form responses 1'!C7</f>
        <v>terraioli veronica</v>
      </c>
      <c r="E7" s="20">
        <f>'Form responses 1'!D7</f>
        <v>314008</v>
      </c>
      <c r="F7" s="21">
        <f t="shared" si="11"/>
        <v>3</v>
      </c>
      <c r="G7" s="21">
        <f t="shared" si="12"/>
        <v>1</v>
      </c>
      <c r="H7" s="21">
        <f t="shared" si="13"/>
        <v>4</v>
      </c>
      <c r="I7" s="21">
        <f t="shared" si="14"/>
        <v>0</v>
      </c>
      <c r="J7" s="21">
        <f t="shared" si="15"/>
        <v>0</v>
      </c>
      <c r="K7" s="21">
        <f t="shared" si="16"/>
        <v>8</v>
      </c>
      <c r="L7" s="20" t="str">
        <f>'Form responses 1'!E7</f>
        <v>1477350 Kga/h</v>
      </c>
      <c r="M7" s="22">
        <f t="shared" si="17"/>
        <v>23328.000000000175</v>
      </c>
      <c r="N7" s="23" t="s">
        <v>85</v>
      </c>
      <c r="O7" s="24">
        <f t="shared" si="18"/>
        <v>0</v>
      </c>
      <c r="P7" s="20" t="str">
        <f>'Form responses 1'!F7</f>
        <v>105.96 dB(A)</v>
      </c>
      <c r="Q7" s="22">
        <f t="shared" si="19"/>
        <v>108</v>
      </c>
      <c r="R7" s="23" t="s">
        <v>14</v>
      </c>
      <c r="S7" s="24">
        <f t="shared" si="20"/>
        <v>0</v>
      </c>
      <c r="T7" s="20" t="str">
        <f>'Form responses 1'!G7</f>
        <v>120.24 dB(A)</v>
      </c>
      <c r="U7" s="22">
        <f t="shared" si="21"/>
        <v>78.197887582883936</v>
      </c>
      <c r="V7" s="23" t="s">
        <v>14</v>
      </c>
      <c r="W7" s="24">
        <f t="shared" si="22"/>
        <v>0</v>
      </c>
      <c r="X7" s="20" t="str">
        <f>'Form responses 1'!H7</f>
        <v>125.33 W/m2K</v>
      </c>
      <c r="Y7" s="22">
        <f t="shared" si="23"/>
        <v>0.16161616161616163</v>
      </c>
      <c r="Z7" s="23" t="s">
        <v>80</v>
      </c>
      <c r="AA7" s="24">
        <f t="shared" si="9"/>
        <v>0</v>
      </c>
      <c r="AB7" s="20" t="str">
        <f>'Form responses 1'!I7</f>
        <v>158823.5 lm</v>
      </c>
      <c r="AC7" s="22">
        <f t="shared" si="24"/>
        <v>158823.52941176473</v>
      </c>
      <c r="AD7" s="23" t="s">
        <v>16</v>
      </c>
      <c r="AE7" s="24">
        <f t="shared" si="25"/>
        <v>5</v>
      </c>
      <c r="AF7" s="20">
        <f>'Form responses 1'!J7</f>
        <v>1</v>
      </c>
      <c r="AG7" s="22">
        <v>0.95</v>
      </c>
      <c r="AH7" s="24">
        <v>5</v>
      </c>
      <c r="AI7" s="26">
        <f>O7+S7+W7+AA7+AE7+AH7</f>
        <v>10</v>
      </c>
    </row>
    <row r="8" spans="1:45" ht="15.75" customHeight="1" x14ac:dyDescent="0.35">
      <c r="A8" s="18">
        <v>7</v>
      </c>
      <c r="B8" s="19">
        <f>'Form responses 1'!A8</f>
        <v>44225.450703182869</v>
      </c>
      <c r="C8" s="20" t="str">
        <f>'Form responses 1'!B8</f>
        <v>sara.cavalieri1@studenti.unipr.it</v>
      </c>
      <c r="D8" s="20" t="str">
        <f>'Form responses 1'!C8</f>
        <v>Cavalieri Sara</v>
      </c>
      <c r="E8" s="20">
        <f>'Form responses 1'!D8</f>
        <v>307881</v>
      </c>
      <c r="F8" s="21">
        <f t="shared" si="11"/>
        <v>3</v>
      </c>
      <c r="G8" s="21">
        <f t="shared" si="12"/>
        <v>0</v>
      </c>
      <c r="H8" s="21">
        <f t="shared" si="13"/>
        <v>7</v>
      </c>
      <c r="I8" s="21">
        <f t="shared" si="14"/>
        <v>8</v>
      </c>
      <c r="J8" s="21">
        <f t="shared" si="15"/>
        <v>8</v>
      </c>
      <c r="K8" s="21">
        <f t="shared" si="16"/>
        <v>1</v>
      </c>
      <c r="L8" s="20" t="str">
        <f>'Form responses 1'!E8</f>
        <v>1356750 J</v>
      </c>
      <c r="M8" s="22">
        <f t="shared" si="17"/>
        <v>27666.899999999529</v>
      </c>
      <c r="N8" s="23" t="s">
        <v>85</v>
      </c>
      <c r="O8" s="24">
        <f t="shared" si="18"/>
        <v>0</v>
      </c>
      <c r="P8" s="20" t="str">
        <f>'Form responses 1'!F8</f>
        <v>94.98 dB(A)</v>
      </c>
      <c r="Q8" s="22">
        <f t="shared" si="19"/>
        <v>105.14973347970817</v>
      </c>
      <c r="R8" s="23" t="s">
        <v>14</v>
      </c>
      <c r="S8" s="24">
        <f t="shared" si="20"/>
        <v>0</v>
      </c>
      <c r="T8" s="20" t="str">
        <f>'Form responses 1'!G8</f>
        <v>1881.12 dB(A)</v>
      </c>
      <c r="U8" s="22">
        <f t="shared" si="21"/>
        <v>73.106032741647823</v>
      </c>
      <c r="V8" s="23" t="s">
        <v>14</v>
      </c>
      <c r="W8" s="24">
        <f t="shared" si="22"/>
        <v>0</v>
      </c>
      <c r="X8" s="20" t="str">
        <f>'Form responses 1'!H8</f>
        <v>9.38 W/m2K</v>
      </c>
      <c r="Y8" s="22">
        <f t="shared" si="23"/>
        <v>0.68144994355077726</v>
      </c>
      <c r="Z8" s="23" t="s">
        <v>80</v>
      </c>
      <c r="AA8" s="24">
        <f t="shared" si="9"/>
        <v>0</v>
      </c>
      <c r="AB8" s="20" t="str">
        <f>'Form responses 1'!I8</f>
        <v>91012.54 lm</v>
      </c>
      <c r="AC8" s="22">
        <f t="shared" si="24"/>
        <v>91012.536162005781</v>
      </c>
      <c r="AD8" s="23" t="s">
        <v>16</v>
      </c>
      <c r="AE8" s="24">
        <f t="shared" si="25"/>
        <v>5</v>
      </c>
      <c r="AF8" s="20">
        <f>'Form responses 1'!J8</f>
        <v>0.88</v>
      </c>
      <c r="AG8" s="22">
        <f>0.02*(1-(0.5+J8/50))*(2*(3+J8/3)*3+2*(4+K8/2)*(3+J8/3)+2*(4+K8/2)*3)/(0.75*0.5*0.9)</f>
        <v>2.2565925925925923</v>
      </c>
      <c r="AH8" s="24">
        <v>5</v>
      </c>
      <c r="AI8" s="26">
        <f>O8+S8+W8+AA8+AE8+AH8</f>
        <v>10</v>
      </c>
    </row>
  </sheetData>
  <phoneticPr fontId="8" type="noConversion"/>
  <conditionalFormatting sqref="W2:W8">
    <cfRule type="cellIs" dxfId="20" priority="17" operator="lessThan">
      <formula>0</formula>
    </cfRule>
  </conditionalFormatting>
  <conditionalFormatting sqref="W2:W8">
    <cfRule type="containsText" dxfId="19" priority="18" operator="containsText" text=",">
      <formula>NOT(ISERROR(SEARCH(",",W2)))</formula>
    </cfRule>
  </conditionalFormatting>
  <conditionalFormatting sqref="W2:W8">
    <cfRule type="cellIs" dxfId="18" priority="16" operator="equal">
      <formula>0</formula>
    </cfRule>
  </conditionalFormatting>
  <conditionalFormatting sqref="S2:S8">
    <cfRule type="cellIs" dxfId="17" priority="20" operator="lessThan">
      <formula>0</formula>
    </cfRule>
  </conditionalFormatting>
  <conditionalFormatting sqref="S2:S8">
    <cfRule type="containsText" dxfId="16" priority="21" operator="containsText" text=",">
      <formula>NOT(ISERROR(SEARCH(",",S2)))</formula>
    </cfRule>
  </conditionalFormatting>
  <conditionalFormatting sqref="S2:S8">
    <cfRule type="cellIs" dxfId="15" priority="19" operator="equal">
      <formula>0</formula>
    </cfRule>
  </conditionalFormatting>
  <conditionalFormatting sqref="O2:O8">
    <cfRule type="cellIs" dxfId="14" priority="14" operator="lessThan">
      <formula>0</formula>
    </cfRule>
  </conditionalFormatting>
  <conditionalFormatting sqref="O2:O8">
    <cfRule type="containsText" dxfId="13" priority="15" operator="containsText" text=",">
      <formula>NOT(ISERROR(SEARCH(",",O2)))</formula>
    </cfRule>
  </conditionalFormatting>
  <conditionalFormatting sqref="O2:O8">
    <cfRule type="cellIs" dxfId="12" priority="13" operator="equal">
      <formula>0</formula>
    </cfRule>
  </conditionalFormatting>
  <conditionalFormatting sqref="AE2:AE8">
    <cfRule type="cellIs" dxfId="8" priority="8" operator="lessThan">
      <formula>0</formula>
    </cfRule>
  </conditionalFormatting>
  <conditionalFormatting sqref="AE2:AE8">
    <cfRule type="containsText" dxfId="7" priority="9" operator="containsText" text=",">
      <formula>NOT(ISERROR(SEARCH(",",AE2)))</formula>
    </cfRule>
  </conditionalFormatting>
  <conditionalFormatting sqref="AE2:AE8">
    <cfRule type="cellIs" dxfId="6" priority="7" operator="equal">
      <formula>0</formula>
    </cfRule>
  </conditionalFormatting>
  <conditionalFormatting sqref="AH2:AH8">
    <cfRule type="cellIs" dxfId="5" priority="5" operator="lessThan">
      <formula>0</formula>
    </cfRule>
  </conditionalFormatting>
  <conditionalFormatting sqref="AH2:AH8">
    <cfRule type="containsText" dxfId="4" priority="6" operator="containsText" text=",">
      <formula>NOT(ISERROR(SEARCH(",",AH2)))</formula>
    </cfRule>
  </conditionalFormatting>
  <conditionalFormatting sqref="AH2:AH8">
    <cfRule type="cellIs" dxfId="3" priority="4" operator="equal">
      <formula>0</formula>
    </cfRule>
  </conditionalFormatting>
  <conditionalFormatting sqref="AA2:AA8">
    <cfRule type="cellIs" dxfId="2" priority="2" operator="lessThan">
      <formula>0</formula>
    </cfRule>
  </conditionalFormatting>
  <conditionalFormatting sqref="AA2:AA8">
    <cfRule type="containsText" dxfId="1" priority="3" operator="containsText" text=",">
      <formula>NOT(ISERROR(SEARCH(",",AA2)))</formula>
    </cfRule>
  </conditionalFormatting>
  <conditionalFormatting sqref="AA2:AA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938A-195D-4672-AA6B-5754F48640A4}">
  <dimension ref="A1:P27"/>
  <sheetViews>
    <sheetView workbookViewId="0">
      <selection activeCell="A24" sqref="A24:F24"/>
    </sheetView>
  </sheetViews>
  <sheetFormatPr defaultRowHeight="12.75" x14ac:dyDescent="0.35"/>
  <sheetData>
    <row r="1" spans="1:16" ht="13.15" x14ac:dyDescent="0.4">
      <c r="A1" s="2" t="s">
        <v>18</v>
      </c>
      <c r="B1" s="3"/>
      <c r="C1" s="3"/>
      <c r="D1" s="3"/>
      <c r="E1" s="3"/>
      <c r="F1" s="3"/>
      <c r="G1" s="3"/>
    </row>
    <row r="2" spans="1:16" ht="13.15" x14ac:dyDescent="0.4">
      <c r="A2" s="2"/>
      <c r="B2" s="3"/>
      <c r="C2" s="3"/>
      <c r="D2" s="3"/>
      <c r="E2" s="3"/>
      <c r="F2" s="3"/>
    </row>
    <row r="3" spans="1:16" ht="13.15" thickBot="1" x14ac:dyDescent="0.4">
      <c r="A3" s="3" t="s">
        <v>3</v>
      </c>
    </row>
    <row r="4" spans="1:16" x14ac:dyDescent="0.3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</row>
    <row r="5" spans="1:16" ht="13.15" thickBot="1" x14ac:dyDescent="0.4">
      <c r="A5" s="7">
        <v>1</v>
      </c>
      <c r="B5" s="8">
        <v>2</v>
      </c>
      <c r="C5" s="8">
        <v>3</v>
      </c>
      <c r="D5" s="8">
        <v>4</v>
      </c>
      <c r="E5" s="8">
        <v>5</v>
      </c>
      <c r="F5" s="9">
        <v>6</v>
      </c>
    </row>
    <row r="7" spans="1:16" ht="42.75" customHeight="1" thickBot="1" x14ac:dyDescent="0.4">
      <c r="A7" s="29" t="str">
        <f>'Form responses 1'!E1</f>
        <v xml:space="preserve">1) L'aria in una stanza ha una temperatura di 10+E/2 °C e titolo x = 4+F/2 gv/kga. Il volume della stanza è di 100+D*10 m³. L'aria viene riscaldata sino a 20+F/4 °C. Calcolare la quantità di calore necessaria ad operare il riscaldamento.									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6" ht="13.9" thickTop="1" thickBot="1" x14ac:dyDescent="0.45">
      <c r="A8" s="10" t="s">
        <v>71</v>
      </c>
      <c r="E8" s="31"/>
      <c r="F8" s="31"/>
      <c r="H8" s="13">
        <f>1.2*(100+D5*10)*(20+F5/4+(4+F5/2)*(2500+1.9*(20+F5/4))-(10+E5/2)-(4+F5/2)*(2500+1.9*(10-E5/2)))</f>
        <v>32793.600000000122</v>
      </c>
      <c r="I8" s="12" t="s">
        <v>19</v>
      </c>
    </row>
    <row r="9" spans="1:16" ht="13.15" thickTop="1" x14ac:dyDescent="0.35"/>
    <row r="10" spans="1:16" ht="39.75" customHeight="1" thickBot="1" x14ac:dyDescent="0.4">
      <c r="A10" s="29" t="str">
        <f>'Form responses 1'!F1</f>
        <v xml:space="preserve">2) Calcolare il livello di potenza sonora di una macchina collocata all'aperto su un piano riflettente, avendo misurato un livello medio di pressione sonora pari a 80+F dB(A) su una superficie di inviluppo di forma cubica avente un lato pari a 5m.											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6" ht="13.9" thickTop="1" thickBot="1" x14ac:dyDescent="0.45">
      <c r="A11" s="10" t="s">
        <v>15</v>
      </c>
      <c r="E11" s="11">
        <f>80+F5+10*LOG10(125)</f>
        <v>106.96910013008056</v>
      </c>
      <c r="F11" s="12" t="s">
        <v>14</v>
      </c>
    </row>
    <row r="12" spans="1:16" ht="13.15" thickTop="1" x14ac:dyDescent="0.35"/>
    <row r="13" spans="1:16" ht="40.5" customHeight="1" thickBot="1" x14ac:dyDescent="0.4">
      <c r="A13" s="29" t="str">
        <f>'Form responses 1'!G1</f>
        <v>3) Su un binario passano 10+D treni ogni ora, ciascuno dei quali produce un SEL di 104+F dB(A) alla distanza di 7.5m dall'asse del binario. Calcolare il livello equivalente  Leq in un punto situato a 50+E m dall'asse del binario.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6" ht="13.9" thickTop="1" thickBot="1" x14ac:dyDescent="0.45">
      <c r="A14" s="35" t="s">
        <v>72</v>
      </c>
      <c r="B14" s="28">
        <f>104+F5</f>
        <v>110</v>
      </c>
      <c r="C14" s="35" t="s">
        <v>73</v>
      </c>
      <c r="D14" s="35" t="s">
        <v>74</v>
      </c>
      <c r="E14" s="28">
        <f>50+E5</f>
        <v>55</v>
      </c>
      <c r="F14" s="35" t="s">
        <v>75</v>
      </c>
      <c r="G14" s="35" t="s">
        <v>76</v>
      </c>
      <c r="H14" s="28">
        <f>10+D5</f>
        <v>14</v>
      </c>
      <c r="I14" s="35" t="s">
        <v>77</v>
      </c>
      <c r="J14" s="36" t="s">
        <v>78</v>
      </c>
      <c r="K14" s="28"/>
      <c r="L14" s="28"/>
      <c r="M14" s="28"/>
      <c r="N14" s="28"/>
      <c r="O14" s="37">
        <f>B14+10*LOG10(H14/3600)+10*LOG10(7.5/E14)</f>
        <v>77.245241088084072</v>
      </c>
      <c r="P14" s="38" t="s">
        <v>14</v>
      </c>
    </row>
    <row r="15" spans="1:16" s="31" customFormat="1" ht="13.5" thickTop="1" x14ac:dyDescent="0.4">
      <c r="A15" s="35"/>
      <c r="B15" s="28"/>
      <c r="C15" s="35"/>
      <c r="D15" s="35"/>
      <c r="E15" s="28"/>
      <c r="F15" s="35"/>
      <c r="G15" s="35"/>
      <c r="H15" s="28"/>
      <c r="I15" s="35"/>
      <c r="J15" s="36"/>
      <c r="K15" s="28"/>
      <c r="L15" s="28"/>
      <c r="M15" s="28"/>
      <c r="N15" s="28"/>
      <c r="O15" s="39"/>
      <c r="P15" s="40"/>
    </row>
    <row r="16" spans="1:16" ht="58.15" customHeight="1" thickBot="1" x14ac:dyDescent="0.4">
      <c r="A16" s="29" t="str">
        <f>'Form responses 1'!H1</f>
        <v>4) Determinare la trasmittanza U di una parete cieca composta da 4 strati: - intonaco spesso 1.5 cm con conducibilità termica di 0.4+F/20 W/mK; parete in forati spessa 30 cm avente conducibilità termica pari a 0.3+E/10 W/mK; isolante termico spesso 10 cm avente conducibilità termica pari a 0.02+D/100 W/mK; intonaco esterno spesso 2 cm avente conducibilità termica pari a 0.8+F/20 W/mK.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6.149999999999999" customHeight="1" thickTop="1" thickBot="1" x14ac:dyDescent="0.45">
      <c r="A17" s="10" t="s">
        <v>79</v>
      </c>
      <c r="B17" s="27"/>
      <c r="C17" s="31"/>
      <c r="D17" s="31"/>
      <c r="E17" s="31"/>
      <c r="F17" s="42">
        <f>1/(1/8+0.015/(0-4+F5/20)+0.3/(0.3+E5/10)+0.1/(0.02+D5/100)+0.02/(0.8+F5/20)+1/20)</f>
        <v>0.44827079814964399</v>
      </c>
      <c r="G17" s="41" t="s">
        <v>80</v>
      </c>
      <c r="H17" s="31"/>
      <c r="I17" s="31"/>
      <c r="J17" s="31"/>
      <c r="K17" s="14"/>
    </row>
    <row r="18" spans="1:11" ht="13.15" thickTop="1" x14ac:dyDescent="0.3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20" spans="1:11" ht="41.25" customHeight="1" thickBot="1" x14ac:dyDescent="0.4">
      <c r="A20" s="29" t="str">
        <f>'Form responses 1'!I1</f>
        <v xml:space="preserve">5) Calcolare il flusso luminoso totale necessario in una stanza rettangolare avente dimensioni di m 10+F x 5+E ed alta 4m. Il fattore di utilizzazione è pari a 0.3+D/30, il fattore di manutenzione è pari a 0.6+F/100. Il valore di illuminamento da raggiungere sui piani di lavoro è pari a 200+F*20 lux.					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13.9" thickTop="1" thickBot="1" x14ac:dyDescent="0.45">
      <c r="A21" s="2" t="s">
        <v>81</v>
      </c>
      <c r="B21" s="3"/>
      <c r="C21" s="43">
        <f>(200+F5*20)*(10+F5)*(5+E5)/((0.3+D5/30)*(0.6+F5/100))</f>
        <v>179020.97902097902</v>
      </c>
      <c r="D21" s="44" t="s">
        <v>16</v>
      </c>
      <c r="E21" s="31"/>
      <c r="F21" s="31"/>
      <c r="G21" s="31"/>
      <c r="H21" s="31"/>
    </row>
    <row r="22" spans="1:11" ht="13.15" thickTop="1" x14ac:dyDescent="0.35">
      <c r="A22" s="31"/>
      <c r="B22" s="31"/>
      <c r="C22" s="31"/>
      <c r="D22" s="31"/>
      <c r="E22" s="31"/>
      <c r="F22" s="31"/>
      <c r="G22" s="31"/>
      <c r="H22" s="31"/>
    </row>
    <row r="23" spans="1:11" ht="36.4" customHeight="1" thickBot="1" x14ac:dyDescent="0.4">
      <c r="A23" s="29" t="str">
        <f>'Form responses 1'!J1</f>
        <v>6) Calcolare il fattore di riduzione del fattore finestra  ψ Sapendo che la finestra è larga 1.0+F/10 m, alta 1.6+E/10 m ed è recessata dal filo facciata di 20+D cm.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ht="13.9" thickTop="1" thickBot="1" x14ac:dyDescent="0.45">
      <c r="A24" s="45" t="s">
        <v>82</v>
      </c>
      <c r="B24" s="46">
        <f>(1.6+E5/10)/((20+D5)/100)</f>
        <v>8.75</v>
      </c>
      <c r="C24" s="45" t="s">
        <v>83</v>
      </c>
      <c r="D24" s="46">
        <f>(1+F5/10)/((20+D5)/100)</f>
        <v>6.666666666666667</v>
      </c>
      <c r="E24" s="47" t="s">
        <v>84</v>
      </c>
      <c r="F24" s="48">
        <v>0.92</v>
      </c>
      <c r="G24" s="31"/>
      <c r="H24" s="31"/>
      <c r="I24" s="31"/>
    </row>
    <row r="25" spans="1:11" ht="13.15" thickTop="1" x14ac:dyDescent="0.35">
      <c r="A25" s="3"/>
      <c r="B25" s="3"/>
      <c r="C25" s="3"/>
      <c r="D25" s="3"/>
      <c r="E25" s="3"/>
      <c r="F25" s="3"/>
      <c r="G25" s="31"/>
      <c r="H25" s="31"/>
      <c r="I25" s="31"/>
    </row>
    <row r="26" spans="1:11" x14ac:dyDescent="0.35">
      <c r="A26" s="31"/>
      <c r="B26" s="31"/>
      <c r="C26" s="31"/>
      <c r="D26" s="31"/>
      <c r="E26" s="31"/>
      <c r="F26" s="31"/>
      <c r="G26" s="31"/>
      <c r="H26" s="31"/>
      <c r="I26" s="31"/>
    </row>
    <row r="27" spans="1:11" x14ac:dyDescent="0.35">
      <c r="A27" s="31"/>
      <c r="B27" s="31"/>
      <c r="C27" s="31"/>
      <c r="D27" s="31"/>
      <c r="E27" s="31"/>
      <c r="F27" s="31"/>
      <c r="G27" s="31"/>
      <c r="H27" s="31"/>
      <c r="I27" s="31"/>
    </row>
  </sheetData>
  <mergeCells count="6">
    <mergeCell ref="A23:K23"/>
    <mergeCell ref="A7:K7"/>
    <mergeCell ref="A10:K10"/>
    <mergeCell ref="A13:K13"/>
    <mergeCell ref="A16:K16"/>
    <mergeCell ref="A20:K2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 responses 1</vt:lpstr>
      <vt:lpstr>Punteggio</vt:lpstr>
      <vt:lpstr>Soluzione</vt:lpstr>
      <vt:lpstr>d</vt:lpstr>
      <vt:lpstr>E</vt:lpstr>
      <vt:lpstr>F</vt:lpstr>
      <vt:lpstr>Kfact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2020-12-20T17:19:14Z</dcterms:created>
  <dcterms:modified xsi:type="dcterms:W3CDTF">2021-01-29T11:07:11Z</dcterms:modified>
</cp:coreProperties>
</file>